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21" i="31" l="1"/>
  <c r="R22" i="31"/>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AA3" i="71" s="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O24" i="71"/>
  <c r="C24" i="71" s="1"/>
  <c r="C23" i="71" s="1"/>
  <c r="Q25" i="7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AB26" i="71" s="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B71" i="71"/>
  <c r="B70" i="71" s="1"/>
  <c r="Q70" i="71"/>
  <c r="P70" i="71"/>
  <c r="O70" i="71"/>
  <c r="N70" i="71"/>
  <c r="Q69" i="71"/>
  <c r="P69" i="71"/>
  <c r="O69" i="71"/>
  <c r="N69" i="71"/>
  <c r="D69" i="71"/>
  <c r="F68" i="71"/>
  <c r="E68" i="7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P37" i="71"/>
  <c r="O37" i="71"/>
  <c r="N37" i="71"/>
  <c r="D37" i="71"/>
  <c r="Q36" i="71"/>
  <c r="P36" i="71"/>
  <c r="O36" i="71"/>
  <c r="N36" i="71"/>
  <c r="X36" i="71" s="1"/>
  <c r="Q35" i="71"/>
  <c r="P35" i="71"/>
  <c r="AA35" i="71" s="1"/>
  <c r="O35" i="71"/>
  <c r="N35" i="71"/>
  <c r="X35" i="71" s="1"/>
  <c r="Q34" i="71"/>
  <c r="P34" i="71"/>
  <c r="O34" i="71"/>
  <c r="N34" i="71"/>
  <c r="X34" i="71" s="1"/>
  <c r="Q33" i="71"/>
  <c r="F34" i="71" s="1"/>
  <c r="F35" i="71" s="1"/>
  <c r="F36" i="71" s="1"/>
  <c r="V36" i="71" s="1"/>
  <c r="P33" i="71"/>
  <c r="E34" i="71" s="1"/>
  <c r="E35" i="71" s="1"/>
  <c r="E36" i="71" s="1"/>
  <c r="U36" i="71" s="1"/>
  <c r="O33" i="71"/>
  <c r="N33" i="71"/>
  <c r="D33" i="71"/>
  <c r="Q32" i="71"/>
  <c r="AB32" i="71" s="1"/>
  <c r="P32" i="71"/>
  <c r="O32" i="71"/>
  <c r="N32" i="71"/>
  <c r="Q31" i="71"/>
  <c r="P31" i="71"/>
  <c r="O31" i="71"/>
  <c r="N31" i="71"/>
  <c r="Q30" i="71"/>
  <c r="P30" i="71"/>
  <c r="O30" i="71"/>
  <c r="N30" i="71"/>
  <c r="Q29" i="71"/>
  <c r="P29" i="71"/>
  <c r="O29" i="71"/>
  <c r="N29" i="71"/>
  <c r="D29" i="71"/>
  <c r="O28" i="71"/>
  <c r="N28" i="71"/>
  <c r="B30" i="71"/>
  <c r="B31" i="71"/>
  <c r="B32" i="71" s="1"/>
  <c r="S32" i="71" s="1"/>
  <c r="E30" i="71"/>
  <c r="E31" i="71" s="1"/>
  <c r="B38" i="71"/>
  <c r="B39" i="71" s="1"/>
  <c r="B40" i="71" s="1"/>
  <c r="S40" i="71" s="1"/>
  <c r="X37" i="71"/>
  <c r="E38" i="71"/>
  <c r="E39" i="71" s="1"/>
  <c r="E40" i="71" s="1"/>
  <c r="U40" i="71" s="1"/>
  <c r="AA37" i="71"/>
  <c r="AA33" i="71"/>
  <c r="X31" i="71"/>
  <c r="C34" i="71"/>
  <c r="C35" i="71" s="1"/>
  <c r="AA34" i="71"/>
  <c r="AA36" i="71"/>
  <c r="X38" i="71"/>
  <c r="AA38" i="71"/>
  <c r="C28" i="71"/>
  <c r="Y28" i="71"/>
  <c r="Z28" i="71" s="1"/>
  <c r="X27" i="71"/>
  <c r="C51" i="71"/>
  <c r="C52" i="71" s="1"/>
  <c r="D52" i="71" s="1"/>
  <c r="P28" i="71"/>
  <c r="E59" i="71"/>
  <c r="E60" i="71" s="1"/>
  <c r="U60" i="71" s="1"/>
  <c r="Q28" i="71"/>
  <c r="C59" i="71"/>
  <c r="T68" i="71"/>
  <c r="O68" i="71"/>
  <c r="D68" i="71"/>
  <c r="C67" i="71"/>
  <c r="Q68" i="71"/>
  <c r="E71" i="71"/>
  <c r="E70" i="71" s="1"/>
  <c r="C75" i="71"/>
  <c r="D75" i="71" s="1"/>
  <c r="D76" i="71"/>
  <c r="E79" i="71"/>
  <c r="E78" i="71" s="1"/>
  <c r="C83" i="71"/>
  <c r="D83" i="71" s="1"/>
  <c r="F28" i="71"/>
  <c r="F27" i="71" s="1"/>
  <c r="F26" i="71" s="1"/>
  <c r="AB28" i="71"/>
  <c r="AA26" i="71"/>
  <c r="C66" i="71"/>
  <c r="O66" i="71" s="1"/>
  <c r="O67" i="71"/>
  <c r="D67" i="71"/>
  <c r="C74" i="71"/>
  <c r="D74" i="71" s="1"/>
  <c r="D51" i="71"/>
  <c r="D66" i="71"/>
  <c r="T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J18" i="35"/>
  <c r="AC18" i="35" s="1"/>
  <c r="H21" i="37"/>
  <c r="F21" i="37"/>
  <c r="AA21" i="37" s="1"/>
  <c r="H21" i="34"/>
  <c r="AB21" i="34" s="1"/>
  <c r="H21" i="33"/>
  <c r="U21" i="33" s="1"/>
  <c r="F21" i="33"/>
  <c r="S21" i="33" s="1"/>
  <c r="E83" i="21"/>
  <c r="F83" i="21" s="1"/>
  <c r="G83" i="21" s="1"/>
  <c r="H1" i="69"/>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22"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S13" i="33" s="1"/>
  <c r="J29" i="33"/>
  <c r="AC29" i="33"/>
  <c r="H29" i="33"/>
  <c r="U29" i="33"/>
  <c r="F29" i="33"/>
  <c r="S29" i="33"/>
  <c r="J31" i="33"/>
  <c r="W31" i="33"/>
  <c r="H31" i="33"/>
  <c r="F31" i="33"/>
  <c r="H45" i="33"/>
  <c r="U45" i="33" s="1"/>
  <c r="J45" i="33"/>
  <c r="W45" i="33" s="1"/>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32" i="3"/>
  <c r="BL549" i="3"/>
  <c r="AZ549" i="3" s="1"/>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BL376" i="3"/>
  <c r="AZ376" i="3" s="1"/>
  <c r="G377" i="3"/>
  <c r="BA378" i="3"/>
  <c r="AZ378" i="3" s="1"/>
  <c r="BL378" i="3"/>
  <c r="G379" i="3"/>
  <c r="BA380" i="3"/>
  <c r="AZ380" i="3" s="1"/>
  <c r="G388" i="3"/>
  <c r="BL389" i="3"/>
  <c r="G390" i="3"/>
  <c r="BL391" i="3"/>
  <c r="BA393" i="3"/>
  <c r="AZ393" i="3" s="1"/>
  <c r="BA394" i="3"/>
  <c r="BL394" i="3"/>
  <c r="G113" i="3"/>
  <c r="BA115" i="3"/>
  <c r="AZ115" i="3" s="1"/>
  <c r="BL116" i="3"/>
  <c r="AZ116" i="3" s="1"/>
  <c r="G117" i="3"/>
  <c r="BA119" i="3"/>
  <c r="AZ119" i="3" s="1"/>
  <c r="BL120" i="3"/>
  <c r="AZ120" i="3" s="1"/>
  <c r="G121" i="3"/>
  <c r="BA123" i="3"/>
  <c r="BL124" i="3"/>
  <c r="AZ124" i="3" s="1"/>
  <c r="G125" i="3"/>
  <c r="BA127" i="3"/>
  <c r="BL128" i="3"/>
  <c r="G129" i="3"/>
  <c r="BA131" i="3"/>
  <c r="AZ131" i="3" s="1"/>
  <c r="BL132" i="3"/>
  <c r="G133" i="3"/>
  <c r="BA135" i="3"/>
  <c r="AZ135" i="3" s="1"/>
  <c r="BL136" i="3"/>
  <c r="G137" i="3"/>
  <c r="BA139" i="3"/>
  <c r="AZ139" i="3" s="1"/>
  <c r="BL140" i="3"/>
  <c r="G141" i="3"/>
  <c r="BA143" i="3"/>
  <c r="AZ143" i="3" s="1"/>
  <c r="BL144" i="3"/>
  <c r="G145" i="3"/>
  <c r="BA147" i="3"/>
  <c r="BL148" i="3"/>
  <c r="G149" i="3"/>
  <c r="BA151" i="3"/>
  <c r="BL152" i="3"/>
  <c r="AZ152" i="3" s="1"/>
  <c r="G153" i="3"/>
  <c r="BA155" i="3"/>
  <c r="BL156" i="3"/>
  <c r="AZ156" i="3" s="1"/>
  <c r="G157" i="3"/>
  <c r="BA159" i="3"/>
  <c r="AZ159" i="3"/>
  <c r="BL160" i="3"/>
  <c r="G161" i="3"/>
  <c r="BA163" i="3"/>
  <c r="AZ163" i="3"/>
  <c r="BL164" i="3"/>
  <c r="G165" i="3"/>
  <c r="BA167" i="3"/>
  <c r="AZ167" i="3" s="1"/>
  <c r="BL168" i="3"/>
  <c r="G169" i="3"/>
  <c r="BA171" i="3"/>
  <c r="BL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AZ195" i="3"/>
  <c r="BL196" i="3"/>
  <c r="G197" i="3"/>
  <c r="BA199" i="3"/>
  <c r="BL200" i="3"/>
  <c r="G201" i="3"/>
  <c r="BA203" i="3"/>
  <c r="BL204" i="3"/>
  <c r="AZ39" i="3"/>
  <c r="AZ51" i="3"/>
  <c r="AZ55" i="3"/>
  <c r="AZ144" i="3"/>
  <c r="AZ16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BL337" i="3"/>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BA390" i="3"/>
  <c r="AZ390" i="3" s="1"/>
  <c r="BL390" i="3"/>
  <c r="G391" i="3"/>
  <c r="G394" i="3"/>
  <c r="AZ142" i="3"/>
  <c r="AZ166" i="3"/>
  <c r="AZ170" i="3"/>
  <c r="AZ178" i="3"/>
  <c r="AZ500" i="3"/>
  <c r="BA16" i="3"/>
  <c r="BL303" i="3"/>
  <c r="G304" i="3"/>
  <c r="BA306" i="3"/>
  <c r="AZ306" i="3" s="1"/>
  <c r="BL307" i="3"/>
  <c r="G308" i="3"/>
  <c r="BA310" i="3"/>
  <c r="BL311" i="3"/>
  <c r="AZ311" i="3" s="1"/>
  <c r="G312" i="3"/>
  <c r="BA314" i="3"/>
  <c r="BL315" i="3"/>
  <c r="G316" i="3"/>
  <c r="BA318" i="3"/>
  <c r="AZ318" i="3" s="1"/>
  <c r="BL319" i="3"/>
  <c r="AZ319" i="3" s="1"/>
  <c r="G320" i="3"/>
  <c r="BA322" i="3"/>
  <c r="BL323" i="3"/>
  <c r="AZ323" i="3" s="1"/>
  <c r="G324" i="3"/>
  <c r="BA326" i="3"/>
  <c r="AZ326" i="3" s="1"/>
  <c r="BL327" i="3"/>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BL374" i="3"/>
  <c r="G375" i="3"/>
  <c r="BA377" i="3"/>
  <c r="AZ377" i="3" s="1"/>
  <c r="AZ229" i="3"/>
  <c r="AZ257" i="3"/>
  <c r="AZ261" i="3"/>
  <c r="AZ265" i="3"/>
  <c r="BA379" i="3"/>
  <c r="BL380" i="3"/>
  <c r="G381" i="3"/>
  <c r="BA383" i="3"/>
  <c r="AZ383" i="3" s="1"/>
  <c r="BL384" i="3"/>
  <c r="AZ384" i="3" s="1"/>
  <c r="G385" i="3"/>
  <c r="BA387" i="3"/>
  <c r="BL388" i="3"/>
  <c r="G389" i="3"/>
  <c r="BA391" i="3"/>
  <c r="AZ391" i="3" s="1"/>
  <c r="BL392" i="3"/>
  <c r="AZ392" i="3" s="1"/>
  <c r="G393" i="3"/>
  <c r="AZ263" i="3"/>
  <c r="BO5" i="3"/>
  <c r="BM5" i="3"/>
  <c r="BJ5" i="3"/>
  <c r="BH5" i="3"/>
  <c r="BF5" i="3"/>
  <c r="BD5" i="3"/>
  <c r="AZ333" i="3"/>
  <c r="BQ5" i="3"/>
  <c r="AC5" i="3"/>
  <c r="AZ506" i="3"/>
  <c r="AZ496" i="3"/>
  <c r="G548" i="3"/>
  <c r="G538" i="3"/>
  <c r="G520" i="3"/>
  <c r="G502" i="3"/>
  <c r="BS5" i="3"/>
  <c r="BP5" i="3"/>
  <c r="BN5" i="3"/>
  <c r="BK5" i="3"/>
  <c r="BI5" i="3"/>
  <c r="BG5" i="3"/>
  <c r="BE5" i="3"/>
  <c r="BC5" i="3"/>
  <c r="G19" i="6" s="1"/>
  <c r="G27" i="6" s="1"/>
  <c r="D37" i="43" s="1"/>
  <c r="H37" i="43" s="1"/>
  <c r="G17" i="3"/>
  <c r="BA17" i="3"/>
  <c r="BT5" i="3"/>
  <c r="AZ364" i="3"/>
  <c r="BA15" i="3"/>
  <c r="BB5" i="3"/>
  <c r="F19" i="6" s="1"/>
  <c r="E19" i="6" s="1"/>
  <c r="K6" i="1" s="1"/>
  <c r="AP6" i="1" s="1"/>
  <c r="BR5" i="3"/>
  <c r="AZ388" i="3"/>
  <c r="AZ396" i="3"/>
  <c r="AZ394"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96" i="3"/>
  <c r="AZ114" i="3"/>
  <c r="AZ29" i="3"/>
  <c r="AZ31" i="3"/>
  <c r="AZ33" i="3"/>
  <c r="AZ37" i="3"/>
  <c r="AZ53" i="3"/>
  <c r="AZ58"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12" i="3"/>
  <c r="AZ428" i="3"/>
  <c r="W12" i="33"/>
  <c r="AC12" i="33"/>
  <c r="AA32" i="36"/>
  <c r="S32" i="36"/>
  <c r="AZ473" i="3"/>
  <c r="AZ490" i="3"/>
  <c r="F28" i="6"/>
  <c r="BL14" i="3"/>
  <c r="U30" i="33"/>
  <c r="AC13" i="34"/>
  <c r="AA47" i="34"/>
  <c r="W28" i="37"/>
  <c r="S19" i="39"/>
  <c r="F12" i="33"/>
  <c r="H12" i="39"/>
  <c r="AB12" i="39" s="1"/>
  <c r="F39" i="40"/>
  <c r="BA14" i="3"/>
  <c r="AZ213" i="3"/>
  <c r="AZ234" i="3"/>
  <c r="AZ165" i="3"/>
  <c r="AZ173" i="3"/>
  <c r="AZ35"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H25" i="33"/>
  <c r="AB25" i="33" s="1"/>
  <c r="F25" i="33"/>
  <c r="S25" i="33" s="1"/>
  <c r="J23" i="33"/>
  <c r="W23" i="33" s="1"/>
  <c r="H23" i="33"/>
  <c r="U23" i="33" s="1"/>
  <c r="F81" i="33"/>
  <c r="F19" i="33"/>
  <c r="S19" i="33" s="1"/>
  <c r="J17" i="33"/>
  <c r="W17" i="33" s="1"/>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AA14" i="21"/>
  <c r="D120" i="9"/>
  <c r="D121" i="9" s="1"/>
  <c r="D7" i="52" s="1"/>
  <c r="C18" i="9"/>
  <c r="D18" i="9"/>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A25" i="33"/>
  <c r="G87" i="33"/>
  <c r="H87" i="33" s="1"/>
  <c r="I87" i="33" s="1"/>
  <c r="J87" i="33" s="1"/>
  <c r="K87" i="33" s="1"/>
  <c r="L87" i="33" s="1"/>
  <c r="M87" i="33" s="1"/>
  <c r="J25" i="33"/>
  <c r="W25" i="33" s="1"/>
  <c r="F23" i="33"/>
  <c r="AA23" i="33" s="1"/>
  <c r="AC23" i="33"/>
  <c r="H19" i="33"/>
  <c r="U19" i="33" s="1"/>
  <c r="G81" i="33"/>
  <c r="G79" i="33"/>
  <c r="H17" i="33"/>
  <c r="AB17" i="33" s="1"/>
  <c r="F17" i="33"/>
  <c r="AA17" i="33" s="1"/>
  <c r="AC17" i="33"/>
  <c r="S37" i="21"/>
  <c r="AA23" i="21"/>
  <c r="AB15" i="21"/>
  <c r="J23" i="21"/>
  <c r="W23" i="21" s="1"/>
  <c r="F85" i="21"/>
  <c r="G85" i="21"/>
  <c r="H23" i="21"/>
  <c r="S13" i="21"/>
  <c r="D6" i="52"/>
  <c r="AP7" i="1"/>
  <c r="AB9" i="21"/>
  <c r="U9" i="21"/>
  <c r="AA32" i="21"/>
  <c r="W9" i="21"/>
  <c r="AB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U23" i="21"/>
  <c r="AB23" i="21"/>
  <c r="H109" i="9"/>
  <c r="AD3" i="71"/>
  <c r="J1" i="73"/>
  <c r="H69" i="43"/>
  <c r="H50" i="43"/>
  <c r="C22" i="71"/>
  <c r="D22" i="71"/>
  <c r="D23" i="71"/>
  <c r="D24" i="71"/>
  <c r="U24" i="71" s="1"/>
  <c r="S24" i="7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D18" i="71"/>
  <c r="D19" i="71"/>
  <c r="M22" i="67"/>
  <c r="M23" i="15"/>
  <c r="F16" i="67"/>
  <c r="M23" i="67"/>
  <c r="F40" i="15"/>
  <c r="F4" i="73"/>
  <c r="F26" i="67"/>
  <c r="E12" i="76"/>
  <c r="M28" i="67"/>
  <c r="F13" i="15"/>
  <c r="E7" i="76"/>
  <c r="L48" i="15"/>
  <c r="C76" i="15"/>
  <c r="F42" i="67"/>
  <c r="E8" i="76"/>
  <c r="B10" i="76"/>
  <c r="M22" i="15"/>
  <c r="F3" i="73"/>
  <c r="AO13" i="1"/>
  <c r="F43" i="67"/>
  <c r="F38" i="15"/>
  <c r="F36" i="15"/>
  <c r="F26" i="15"/>
  <c r="L47" i="15"/>
  <c r="M24" i="67"/>
  <c r="M24" i="15"/>
  <c r="L48" i="67"/>
  <c r="F9" i="67"/>
  <c r="D6" i="73"/>
  <c r="F6" i="73"/>
  <c r="E11" i="76"/>
  <c r="F6" i="15"/>
  <c r="F7" i="67"/>
  <c r="M29" i="67"/>
  <c r="M9" i="15"/>
  <c r="E10" i="76"/>
  <c r="F20" i="31"/>
  <c r="L47" i="67"/>
  <c r="M8" i="67"/>
  <c r="M29" i="15"/>
  <c r="F37" i="15"/>
  <c r="F5" i="73"/>
  <c r="B11" i="76"/>
  <c r="M28" i="15"/>
  <c r="B8" i="76"/>
  <c r="M26" i="15"/>
  <c r="F8" i="15"/>
  <c r="M9" i="67"/>
  <c r="D7" i="73"/>
  <c r="F9" i="15"/>
  <c r="J15" i="15"/>
  <c r="B12" i="76"/>
  <c r="F7" i="15"/>
  <c r="E9" i="76"/>
  <c r="F40" i="67"/>
  <c r="B7" i="76"/>
  <c r="C76" i="67"/>
  <c r="F16" i="15"/>
  <c r="M6" i="67"/>
  <c r="M26" i="67"/>
  <c r="B9" i="76"/>
  <c r="M6" i="15"/>
  <c r="F8" i="67"/>
  <c r="F36" i="67"/>
  <c r="F6" i="67"/>
  <c r="E13" i="76"/>
  <c r="F13" i="67"/>
  <c r="E2" i="69"/>
  <c r="E2" i="68"/>
  <c r="F7" i="73"/>
  <c r="B13" i="76"/>
  <c r="J15" i="67"/>
  <c r="F43" i="15"/>
  <c r="M8" i="15"/>
  <c r="F37" i="67"/>
  <c r="F38" i="67"/>
  <c r="F42" i="15"/>
  <c r="AA11" i="36" l="1"/>
  <c r="S11" i="36"/>
  <c r="U30" i="21"/>
  <c r="AB30" i="21"/>
  <c r="S29" i="35"/>
  <c r="AA29" i="35"/>
  <c r="D20" i="71"/>
  <c r="U20" i="71" s="1"/>
  <c r="T20" i="71"/>
  <c r="AB45" i="21"/>
  <c r="W17" i="21"/>
  <c r="U12" i="39"/>
  <c r="AA39" i="34"/>
  <c r="AZ387" i="3"/>
  <c r="AZ379" i="3"/>
  <c r="AZ322" i="3"/>
  <c r="AZ310" i="3"/>
  <c r="AZ389" i="3"/>
  <c r="AZ372" i="3"/>
  <c r="AZ337" i="3"/>
  <c r="AZ362" i="3"/>
  <c r="AZ360" i="3"/>
  <c r="AZ343" i="3"/>
  <c r="AZ327" i="3"/>
  <c r="AC12" i="37"/>
  <c r="AZ505" i="3"/>
  <c r="AZ515" i="3"/>
  <c r="AZ537" i="3"/>
  <c r="AZ555" i="3"/>
  <c r="AZ561" i="3"/>
  <c r="AZ516" i="3"/>
  <c r="AZ524" i="3"/>
  <c r="AZ528" i="3"/>
  <c r="AZ532" i="3"/>
  <c r="AZ536" i="3"/>
  <c r="AZ544" i="3"/>
  <c r="AZ554" i="3"/>
  <c r="AZ566" i="3"/>
  <c r="AZ574" i="3"/>
  <c r="AZ582" i="3"/>
  <c r="J40" i="33"/>
  <c r="AC40" i="33" s="1"/>
  <c r="J25" i="37"/>
  <c r="G570" i="3"/>
  <c r="G566" i="3"/>
  <c r="G526"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BL420" i="3"/>
  <c r="BA421" i="3"/>
  <c r="AZ421" i="3" s="1"/>
  <c r="BA422" i="3"/>
  <c r="BL422" i="3"/>
  <c r="BA423" i="3"/>
  <c r="AZ423" i="3" s="1"/>
  <c r="BL425" i="3"/>
  <c r="G426" i="3"/>
  <c r="G430" i="3"/>
  <c r="BA431" i="3"/>
  <c r="BL431" i="3"/>
  <c r="BA432" i="3"/>
  <c r="AZ432" i="3" s="1"/>
  <c r="BA433" i="3"/>
  <c r="AZ433" i="3" s="1"/>
  <c r="BA434" i="3"/>
  <c r="BL434" i="3"/>
  <c r="BA436" i="3"/>
  <c r="BL436" i="3"/>
  <c r="BA438" i="3"/>
  <c r="AZ438" i="3" s="1"/>
  <c r="BL440" i="3"/>
  <c r="G441" i="3"/>
  <c r="G443" i="3"/>
  <c r="G445" i="3"/>
  <c r="G447" i="3"/>
  <c r="BA448" i="3"/>
  <c r="BL448" i="3"/>
  <c r="BA449" i="3"/>
  <c r="AZ449" i="3" s="1"/>
  <c r="BA450" i="3"/>
  <c r="AZ450" i="3" s="1"/>
  <c r="BL450" i="3"/>
  <c r="BA452" i="3"/>
  <c r="BL452" i="3"/>
  <c r="BA453" i="3"/>
  <c r="AZ453" i="3" s="1"/>
  <c r="BA454" i="3"/>
  <c r="BL454" i="3"/>
  <c r="BA455" i="3"/>
  <c r="AZ455" i="3" s="1"/>
  <c r="BA457" i="3"/>
  <c r="AZ457" i="3" s="1"/>
  <c r="BL457" i="3"/>
  <c r="G460" i="3"/>
  <c r="BA461" i="3"/>
  <c r="BL461" i="3"/>
  <c r="BA463" i="3"/>
  <c r="BL463" i="3"/>
  <c r="BA464" i="3"/>
  <c r="AZ464" i="3" s="1"/>
  <c r="BA465" i="3"/>
  <c r="AZ465" i="3" s="1"/>
  <c r="BL467" i="3"/>
  <c r="G468" i="3"/>
  <c r="BL469" i="3"/>
  <c r="G470" i="3"/>
  <c r="G473" i="3"/>
  <c r="G476" i="3"/>
  <c r="G478" i="3"/>
  <c r="BA479" i="3"/>
  <c r="BL479" i="3"/>
  <c r="BA480" i="3"/>
  <c r="AZ480" i="3" s="1"/>
  <c r="BA481" i="3"/>
  <c r="BL481" i="3"/>
  <c r="BA482" i="3"/>
  <c r="AZ482" i="3" s="1"/>
  <c r="BL484" i="3"/>
  <c r="G485" i="3"/>
  <c r="G490" i="3"/>
  <c r="G492" i="3"/>
  <c r="BA303" i="3"/>
  <c r="AZ303" i="3" s="1"/>
  <c r="BA307" i="3"/>
  <c r="AZ307" i="3" s="1"/>
  <c r="BL314" i="3"/>
  <c r="AZ314" i="3" s="1"/>
  <c r="G315" i="3"/>
  <c r="BA317" i="3"/>
  <c r="AZ317" i="3" s="1"/>
  <c r="G323" i="3"/>
  <c r="BL324" i="3"/>
  <c r="AZ324" i="3" s="1"/>
  <c r="G327" i="3"/>
  <c r="BA335" i="3"/>
  <c r="AZ335" i="3" s="1"/>
  <c r="BA339" i="3"/>
  <c r="AZ339" i="3" s="1"/>
  <c r="G347" i="3"/>
  <c r="BA348" i="3"/>
  <c r="AZ348" i="3" s="1"/>
  <c r="BA349" i="3"/>
  <c r="AZ349" i="3" s="1"/>
  <c r="BL363" i="3"/>
  <c r="AZ363" i="3" s="1"/>
  <c r="G364" i="3"/>
  <c r="BA366" i="3"/>
  <c r="AZ366" i="3" s="1"/>
  <c r="BA368" i="3"/>
  <c r="AZ368" i="3" s="1"/>
  <c r="BL368" i="3"/>
  <c r="G374" i="3"/>
  <c r="BL375" i="3"/>
  <c r="AZ375" i="3" s="1"/>
  <c r="BA385" i="3"/>
  <c r="BL385" i="3"/>
  <c r="G208" i="3"/>
  <c r="BL209" i="3"/>
  <c r="G210" i="3"/>
  <c r="G213" i="3"/>
  <c r="G215" i="3"/>
  <c r="G218" i="3"/>
  <c r="G221" i="3"/>
  <c r="BL222" i="3"/>
  <c r="G223" i="3"/>
  <c r="BL224" i="3"/>
  <c r="G225" i="3"/>
  <c r="G229" i="3"/>
  <c r="G232" i="3"/>
  <c r="G234" i="3"/>
  <c r="G236" i="3"/>
  <c r="BL237" i="3"/>
  <c r="G238" i="3"/>
  <c r="BA239" i="3"/>
  <c r="BL239" i="3"/>
  <c r="BA241" i="3"/>
  <c r="BL241" i="3"/>
  <c r="BA242" i="3"/>
  <c r="AZ242" i="3" s="1"/>
  <c r="BA243" i="3"/>
  <c r="AZ243" i="3" s="1"/>
  <c r="BA245" i="3"/>
  <c r="BL245" i="3"/>
  <c r="BA246" i="3"/>
  <c r="AZ246" i="3" s="1"/>
  <c r="BA248" i="3"/>
  <c r="AZ248" i="3" s="1"/>
  <c r="BL248" i="3"/>
  <c r="BA250" i="3"/>
  <c r="AZ250" i="3" s="1"/>
  <c r="BL250" i="3"/>
  <c r="BL252" i="3"/>
  <c r="G253" i="3"/>
  <c r="BL254" i="3"/>
  <c r="G255" i="3"/>
  <c r="G257" i="3"/>
  <c r="G261" i="3"/>
  <c r="G265" i="3"/>
  <c r="G267" i="3"/>
  <c r="BL268" i="3"/>
  <c r="G269" i="3"/>
  <c r="BA270" i="3"/>
  <c r="BL270" i="3"/>
  <c r="BL272" i="3"/>
  <c r="G273" i="3"/>
  <c r="BL274" i="3"/>
  <c r="G275" i="3"/>
  <c r="BA276" i="3"/>
  <c r="BL276" i="3"/>
  <c r="BA277" i="3"/>
  <c r="AZ277" i="3" s="1"/>
  <c r="BA279" i="3"/>
  <c r="BL279" i="3"/>
  <c r="BA281" i="3"/>
  <c r="BL281" i="3"/>
  <c r="BA282" i="3"/>
  <c r="AZ282" i="3" s="1"/>
  <c r="BA283" i="3"/>
  <c r="AZ283" i="3" s="1"/>
  <c r="BL285" i="3"/>
  <c r="G286" i="3"/>
  <c r="BL287" i="3"/>
  <c r="G288" i="3"/>
  <c r="BA289" i="3"/>
  <c r="BL289" i="3"/>
  <c r="BA290" i="3"/>
  <c r="AZ290" i="3" s="1"/>
  <c r="BA291" i="3"/>
  <c r="AZ291" i="3" s="1"/>
  <c r="BL293" i="3"/>
  <c r="G294" i="3"/>
  <c r="G296" i="3"/>
  <c r="G298" i="3"/>
  <c r="BL299" i="3"/>
  <c r="G300" i="3"/>
  <c r="G114" i="3"/>
  <c r="BL117" i="3"/>
  <c r="G118" i="3"/>
  <c r="BA121" i="3"/>
  <c r="BL121" i="3"/>
  <c r="BA122" i="3"/>
  <c r="AZ122" i="3" s="1"/>
  <c r="BL123" i="3"/>
  <c r="AZ123" i="3" s="1"/>
  <c r="BA125" i="3"/>
  <c r="AZ125" i="3" s="1"/>
  <c r="BL127" i="3"/>
  <c r="AZ127" i="3" s="1"/>
  <c r="G128" i="3"/>
  <c r="BA130" i="3"/>
  <c r="BL130" i="3"/>
  <c r="BA132" i="3"/>
  <c r="AZ132" i="3" s="1"/>
  <c r="BA134" i="3"/>
  <c r="BL134" i="3"/>
  <c r="BA136" i="3"/>
  <c r="AZ136" i="3" s="1"/>
  <c r="G139" i="3"/>
  <c r="G142" i="3"/>
  <c r="BA145" i="3"/>
  <c r="BL145" i="3"/>
  <c r="BL147" i="3"/>
  <c r="AZ147" i="3" s="1"/>
  <c r="G148" i="3"/>
  <c r="BA149" i="3"/>
  <c r="AZ149" i="3" s="1"/>
  <c r="BA150" i="3"/>
  <c r="AZ150" i="3" s="1"/>
  <c r="BL151" i="3"/>
  <c r="AZ151" i="3" s="1"/>
  <c r="BA153" i="3"/>
  <c r="AZ153" i="3" s="1"/>
  <c r="BA154" i="3"/>
  <c r="AZ154" i="3" s="1"/>
  <c r="BL155" i="3"/>
  <c r="AZ155" i="3" s="1"/>
  <c r="BA158" i="3"/>
  <c r="BL158" i="3"/>
  <c r="BA160" i="3"/>
  <c r="AZ160" i="3" s="1"/>
  <c r="G163" i="3"/>
  <c r="BA172" i="3"/>
  <c r="AZ172" i="3" s="1"/>
  <c r="G175" i="3"/>
  <c r="G178" i="3"/>
  <c r="BL181" i="3"/>
  <c r="G182" i="3"/>
  <c r="G184" i="3"/>
  <c r="BL185" i="3"/>
  <c r="G186" i="3"/>
  <c r="G188" i="3"/>
  <c r="BA189" i="3"/>
  <c r="AZ189" i="3" s="1"/>
  <c r="BL189" i="3"/>
  <c r="BL191" i="3"/>
  <c r="AZ191" i="3" s="1"/>
  <c r="G192" i="3"/>
  <c r="BA194" i="3"/>
  <c r="AZ194" i="3" s="1"/>
  <c r="BL194" i="3"/>
  <c r="BA196" i="3"/>
  <c r="AZ196" i="3" s="1"/>
  <c r="BL198" i="3"/>
  <c r="G199" i="3"/>
  <c r="BA200" i="3"/>
  <c r="AZ200" i="3" s="1"/>
  <c r="BL202" i="3"/>
  <c r="C27" i="71"/>
  <c r="D28" i="71"/>
  <c r="U28" i="71" s="1"/>
  <c r="B34" i="71"/>
  <c r="B35" i="71" s="1"/>
  <c r="B36" i="71" s="1"/>
  <c r="S36" i="71" s="1"/>
  <c r="X33" i="71"/>
  <c r="Y33" i="71"/>
  <c r="Z33" i="71" s="1"/>
  <c r="C38" i="71"/>
  <c r="F38" i="71"/>
  <c r="AB37" i="71"/>
  <c r="P68" i="71"/>
  <c r="U68" i="71"/>
  <c r="T72" i="71"/>
  <c r="C71" i="71"/>
  <c r="D72" i="71"/>
  <c r="U76" i="71"/>
  <c r="E75" i="71"/>
  <c r="E74" i="71" s="1"/>
  <c r="T80" i="71"/>
  <c r="C79" i="71"/>
  <c r="D80" i="71"/>
  <c r="D88" i="71"/>
  <c r="C87" i="71"/>
  <c r="AB27" i="71"/>
  <c r="Y27" i="71"/>
  <c r="Z27" i="71" s="1"/>
  <c r="Y25" i="71"/>
  <c r="Z25" i="71" s="1"/>
  <c r="AA25" i="71"/>
  <c r="G203" i="3"/>
  <c r="BA204" i="3"/>
  <c r="AZ204" i="3" s="1"/>
  <c r="G205" i="3"/>
  <c r="G207" i="3"/>
  <c r="BA18" i="3"/>
  <c r="BL18" i="3"/>
  <c r="BA20" i="3"/>
  <c r="BL20" i="3"/>
  <c r="BL22" i="3"/>
  <c r="G23" i="3"/>
  <c r="G25" i="3"/>
  <c r="BL26" i="3"/>
  <c r="G27" i="3"/>
  <c r="G29" i="3"/>
  <c r="G35" i="3"/>
  <c r="G39" i="3"/>
  <c r="BA40" i="3"/>
  <c r="BL40" i="3"/>
  <c r="BA42" i="3"/>
  <c r="BL42" i="3"/>
  <c r="BL44" i="3"/>
  <c r="G45" i="3"/>
  <c r="BA46" i="3"/>
  <c r="BL46" i="3"/>
  <c r="BL48" i="3"/>
  <c r="G49" i="3"/>
  <c r="G51" i="3"/>
  <c r="G55" i="3"/>
  <c r="G58" i="3"/>
  <c r="G60" i="3"/>
  <c r="BL61" i="3"/>
  <c r="G62" i="3"/>
  <c r="G64" i="3"/>
  <c r="BA65" i="3"/>
  <c r="BL65" i="3"/>
  <c r="BA67" i="3"/>
  <c r="AZ67" i="3" s="1"/>
  <c r="BL67" i="3"/>
  <c r="BA68" i="3"/>
  <c r="AZ68" i="3" s="1"/>
  <c r="BA69" i="3"/>
  <c r="AZ69" i="3" s="1"/>
  <c r="BA71" i="3"/>
  <c r="AZ71" i="3" s="1"/>
  <c r="BL71" i="3"/>
  <c r="BL73" i="3"/>
  <c r="G74" i="3"/>
  <c r="BL75" i="3"/>
  <c r="G76" i="3"/>
  <c r="G78" i="3"/>
  <c r="BL79" i="3"/>
  <c r="G80" i="3"/>
  <c r="BA81" i="3"/>
  <c r="BL81" i="3"/>
  <c r="BA83" i="3"/>
  <c r="BL83" i="3"/>
  <c r="BA85" i="3"/>
  <c r="BL85" i="3"/>
  <c r="BA87" i="3"/>
  <c r="AZ87" i="3" s="1"/>
  <c r="BA88" i="3"/>
  <c r="AZ88" i="3" s="1"/>
  <c r="BA89" i="3"/>
  <c r="AZ89" i="3" s="1"/>
  <c r="BA91" i="3"/>
  <c r="AZ91" i="3" s="1"/>
  <c r="BA93" i="3"/>
  <c r="BL93" i="3"/>
  <c r="BA94" i="3"/>
  <c r="BL94" i="3"/>
  <c r="BA95" i="3"/>
  <c r="AZ95" i="3" s="1"/>
  <c r="BA97" i="3"/>
  <c r="AZ97" i="3" s="1"/>
  <c r="BL97" i="3"/>
  <c r="BL98" i="3"/>
  <c r="G99" i="3"/>
  <c r="BL101" i="3"/>
  <c r="G102" i="3"/>
  <c r="BA103" i="3"/>
  <c r="AZ103" i="3" s="1"/>
  <c r="BL103" i="3"/>
  <c r="BA104" i="3"/>
  <c r="AZ104" i="3" s="1"/>
  <c r="BA105" i="3"/>
  <c r="AZ105" i="3" s="1"/>
  <c r="BA107" i="3"/>
  <c r="AZ107" i="3" s="1"/>
  <c r="BL107" i="3"/>
  <c r="BL108" i="3"/>
  <c r="G109" i="3"/>
  <c r="BL110" i="3"/>
  <c r="G111" i="3"/>
  <c r="BA112" i="3"/>
  <c r="BL112" i="3"/>
  <c r="F3" i="35"/>
  <c r="C40" i="68"/>
  <c r="C21" i="68"/>
  <c r="AB21" i="21"/>
  <c r="W25" i="40"/>
  <c r="S21" i="21"/>
  <c r="S18" i="35"/>
  <c r="C25" i="40"/>
  <c r="P27" i="6"/>
  <c r="O65" i="71"/>
  <c r="C82" i="71"/>
  <c r="D82" i="71" s="1"/>
  <c r="AA28" i="71"/>
  <c r="T28" i="71"/>
  <c r="C60" i="71"/>
  <c r="D59" i="71"/>
  <c r="E67" i="71"/>
  <c r="E28" i="71"/>
  <c r="E27" i="71" s="1"/>
  <c r="E26" i="71" s="1"/>
  <c r="AA27" i="71"/>
  <c r="D34" i="71"/>
  <c r="Y26" i="71"/>
  <c r="Z26" i="71" s="1"/>
  <c r="Y37" i="71"/>
  <c r="Z37" i="71" s="1"/>
  <c r="AB33" i="71"/>
  <c r="X32" i="71"/>
  <c r="X30" i="71"/>
  <c r="N68" i="71"/>
  <c r="AA29" i="71"/>
  <c r="B28" i="71"/>
  <c r="B27" i="71" s="1"/>
  <c r="B26" i="71" s="1"/>
  <c r="X26" i="71"/>
  <c r="X28" i="71"/>
  <c r="Y29" i="71"/>
  <c r="Z29" i="71" s="1"/>
  <c r="F30" i="71"/>
  <c r="F31" i="71" s="1"/>
  <c r="F32" i="71" s="1"/>
  <c r="V32" i="71" s="1"/>
  <c r="AB29" i="71"/>
  <c r="Y30" i="71"/>
  <c r="Z30" i="71" s="1"/>
  <c r="AB30" i="71"/>
  <c r="X29" i="71"/>
  <c r="AA30" i="71"/>
  <c r="AA31" i="71"/>
  <c r="AA32" i="71"/>
  <c r="B67" i="71"/>
  <c r="AB25" i="71"/>
  <c r="E32" i="71"/>
  <c r="U32" i="71" s="1"/>
  <c r="Y31" i="71"/>
  <c r="Z31" i="71" s="1"/>
  <c r="AB31" i="71"/>
  <c r="Y32" i="71"/>
  <c r="Z32" i="71" s="1"/>
  <c r="Y34" i="71"/>
  <c r="Z34" i="71" s="1"/>
  <c r="AB34" i="71"/>
  <c r="Y35" i="71"/>
  <c r="Z35" i="71" s="1"/>
  <c r="AB35" i="71"/>
  <c r="Y36" i="71"/>
  <c r="Z36" i="71" s="1"/>
  <c r="AB36" i="71"/>
  <c r="B43" i="71"/>
  <c r="B44" i="71" s="1"/>
  <c r="S44" i="71" s="1"/>
  <c r="B47" i="71"/>
  <c r="B48" i="71" s="1"/>
  <c r="S48" i="71" s="1"/>
  <c r="B23" i="71"/>
  <c r="B22" i="71" s="1"/>
  <c r="B21" i="71" s="1"/>
  <c r="B20" i="71" s="1"/>
  <c r="A2" i="9"/>
  <c r="A4" i="52"/>
  <c r="B41" i="72" s="1"/>
  <c r="AZ14" i="3"/>
  <c r="AZ16" i="3"/>
  <c r="BL16" i="3"/>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G88" i="3"/>
  <c r="G89" i="3"/>
  <c r="G90" i="3"/>
  <c r="BL90" i="3"/>
  <c r="G92" i="3"/>
  <c r="BL92" i="3"/>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D16" i="53"/>
  <c r="B34" i="72" s="1"/>
  <c r="G28" i="6"/>
  <c r="E28" i="6" s="1"/>
  <c r="K14" i="1" s="1"/>
  <c r="F29" i="6"/>
  <c r="AA41" i="34"/>
  <c r="AZ557" i="3"/>
  <c r="AZ567" i="3"/>
  <c r="AZ571" i="3"/>
  <c r="AZ575" i="3"/>
  <c r="AZ579" i="3"/>
  <c r="S13" i="35"/>
  <c r="AA13" i="35"/>
  <c r="G5" i="3"/>
  <c r="B3" i="3" s="1"/>
  <c r="E77" i="3" s="1"/>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14" i="74" s="1"/>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3" i="73"/>
  <c r="D9" i="68"/>
  <c r="C16" i="67"/>
  <c r="C36" i="68"/>
  <c r="D5" i="73"/>
  <c r="C16" i="15"/>
  <c r="D4" i="73"/>
  <c r="B19" i="71" l="1"/>
  <c r="B18" i="71" s="1"/>
  <c r="B17" i="71" s="1"/>
  <c r="B16" i="71" s="1"/>
  <c r="S20" i="71"/>
  <c r="B66" i="71"/>
  <c r="N67" i="71"/>
  <c r="C86" i="71"/>
  <c r="D86" i="71" s="1"/>
  <c r="D87" i="71"/>
  <c r="C70" i="71"/>
  <c r="D70" i="71" s="1"/>
  <c r="D71" i="71"/>
  <c r="C39" i="71"/>
  <c r="D38" i="71"/>
  <c r="B25" i="31"/>
  <c r="U4" i="43"/>
  <c r="W41" i="33"/>
  <c r="P67" i="71"/>
  <c r="E66" i="71"/>
  <c r="AZ94" i="3"/>
  <c r="AZ93" i="3"/>
  <c r="AZ85" i="3"/>
  <c r="AZ83" i="3"/>
  <c r="AZ81" i="3"/>
  <c r="AZ42" i="3"/>
  <c r="AZ20" i="3"/>
  <c r="AZ18" i="3"/>
  <c r="C78" i="71"/>
  <c r="D78" i="71" s="1"/>
  <c r="D79" i="71"/>
  <c r="C26" i="71"/>
  <c r="D26" i="71" s="1"/>
  <c r="D27" i="71"/>
  <c r="AZ158" i="3"/>
  <c r="AZ130" i="3"/>
  <c r="AZ281" i="3"/>
  <c r="AZ279" i="3"/>
  <c r="AZ245" i="3"/>
  <c r="AZ241" i="3"/>
  <c r="AZ481" i="3"/>
  <c r="AZ454" i="3"/>
  <c r="AZ436" i="3"/>
  <c r="AZ434" i="3"/>
  <c r="AZ422" i="3"/>
  <c r="AC25" i="37"/>
  <c r="W25" i="37"/>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22" i="3"/>
  <c r="N94" i="46"/>
  <c r="J26" i="43"/>
  <c r="G30" i="6"/>
  <c r="G31" i="6" s="1"/>
  <c r="C25" i="31"/>
  <c r="B22" i="31"/>
  <c r="K1" i="73"/>
  <c r="C31" i="71"/>
  <c r="D30" i="71"/>
  <c r="AZ446" i="3"/>
  <c r="AZ550" i="3"/>
  <c r="AC38" i="40"/>
  <c r="W38" i="40"/>
  <c r="BA5" i="3"/>
  <c r="E27" i="6" s="1"/>
  <c r="K26" i="6" s="1"/>
  <c r="M26" i="6" s="1"/>
  <c r="I26" i="6" s="1"/>
  <c r="S26" i="6" s="1"/>
  <c r="D33" i="43"/>
  <c r="D1" i="43" s="1"/>
  <c r="C64" i="71"/>
  <c r="D63" i="71"/>
  <c r="D55" i="71"/>
  <c r="C56" i="71"/>
  <c r="U39" i="40"/>
  <c r="AB39" i="40"/>
  <c r="U41" i="33"/>
  <c r="F36" i="33"/>
  <c r="G111" i="33"/>
  <c r="J36" i="33"/>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G1" i="73"/>
  <c r="F41" i="67"/>
  <c r="F27" i="68"/>
  <c r="P66" i="71" l="1"/>
  <c r="P65" i="71"/>
  <c r="C40" i="71"/>
  <c r="D39" i="71"/>
  <c r="N65" i="71"/>
  <c r="N66" i="71"/>
  <c r="AY6" i="3"/>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M27" i="15"/>
  <c r="F41" i="15"/>
  <c r="F25" i="12" l="1"/>
  <c r="D40" i="71"/>
  <c r="T40" i="71"/>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26" i="12"/>
  <c r="D25" i="12" s="1"/>
  <c r="C66" i="67"/>
  <c r="C60" i="67"/>
  <c r="D10" i="69"/>
  <c r="C34" i="69"/>
  <c r="C14" i="67"/>
  <c r="C17" i="15"/>
  <c r="C17" i="67"/>
  <c r="D10" i="68"/>
  <c r="C26" i="68" l="1"/>
  <c r="D22" i="68" s="1"/>
  <c r="C26" i="11"/>
  <c r="D22" i="11" s="1"/>
  <c r="C23" i="11"/>
  <c r="C24" i="11"/>
  <c r="C44" i="69"/>
  <c r="D41" i="69" s="1"/>
  <c r="C14" i="74"/>
  <c r="B2" i="74" s="1"/>
  <c r="D7" i="74" s="1"/>
  <c r="AB33" i="33"/>
  <c r="T48" i="33" s="1"/>
  <c r="G48" i="33" s="1"/>
  <c r="U33" i="33"/>
  <c r="AC33" i="33"/>
  <c r="V48" i="33" s="1"/>
  <c r="I48" i="33" s="1"/>
  <c r="I52" i="33" s="1"/>
  <c r="J52" i="33" s="1"/>
  <c r="W33" i="33"/>
  <c r="AA33" i="33"/>
  <c r="R48" i="33" s="1"/>
  <c r="S33" i="33"/>
  <c r="C25" i="11"/>
  <c r="C12" i="71"/>
  <c r="D13" i="7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H58" i="21"/>
  <c r="E47" i="37"/>
  <c r="F47" i="37" s="1"/>
  <c r="E46" i="37"/>
  <c r="F46" i="37" s="1"/>
  <c r="I47" i="37"/>
  <c r="J47" i="37" s="1"/>
  <c r="C33" i="15"/>
  <c r="C33" i="67"/>
  <c r="J19" i="67"/>
  <c r="B6" i="76"/>
  <c r="C14" i="15"/>
  <c r="E6" i="76"/>
  <c r="C34" i="68"/>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S25" i="31" s="1"/>
  <c r="C20" i="68"/>
  <c r="C28" i="68" s="1"/>
  <c r="C27" i="68"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F35" i="67"/>
  <c r="F35" i="15"/>
  <c r="M21" i="15"/>
  <c r="M21" i="67"/>
  <c r="S22" i="31" l="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20" i="3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D19" i="9"/>
  <c r="D2" i="21"/>
  <c r="D20" i="9"/>
  <c r="D21" i="9" l="1"/>
  <c r="D102" i="9"/>
  <c r="C57" i="68"/>
  <c r="D103" i="9"/>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2" i="33"/>
  <c r="D34" i="9"/>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7"/>
  <c r="C19" i="9"/>
  <c r="D2" i="34"/>
  <c r="D2" i="36"/>
  <c r="D2" i="35"/>
  <c r="L51" i="15"/>
  <c r="C102" i="9" l="1"/>
  <c r="C21" i="9"/>
  <c r="G19" i="9"/>
  <c r="G21" i="9" s="1"/>
  <c r="D22" i="9"/>
  <c r="B3" i="33"/>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2" i="1"/>
  <c r="AO10" i="1"/>
  <c r="AO11" i="1"/>
  <c r="C20" i="9"/>
  <c r="AO6" i="1"/>
  <c r="AO8" i="1"/>
  <c r="AO7"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C7" i="74" s="1"/>
  <c r="G118" i="9" l="1"/>
  <c r="I118" i="9"/>
  <c r="H118" i="9" s="1"/>
  <c r="D14" i="74" s="1"/>
  <c r="H4" i="52" l="1"/>
  <c r="G4" i="52"/>
  <c r="B52" i="72" s="1"/>
  <c r="F118" i="9"/>
  <c r="C104" i="9"/>
  <c r="H101" i="9"/>
  <c r="H119" i="9"/>
  <c r="H5" i="52" s="1"/>
  <c r="B5" i="74"/>
  <c r="D5" i="74" s="1"/>
  <c r="F14" i="74"/>
  <c r="E14" i="74"/>
  <c r="D5" i="53"/>
  <c r="H107" i="9"/>
  <c r="D45" i="9"/>
  <c r="M48" i="9"/>
  <c r="C105" i="9"/>
  <c r="H102" i="9"/>
  <c r="E118" i="9"/>
  <c r="I4" i="52"/>
  <c r="E4" i="52" l="1"/>
  <c r="B48" i="72" s="1"/>
  <c r="D118" i="9"/>
  <c r="F4" i="52"/>
  <c r="B51" i="72" s="1"/>
  <c r="F119" i="9"/>
  <c r="F5" i="52" s="1"/>
  <c r="B53" i="72" s="1"/>
  <c r="D53" i="9"/>
  <c r="C78" i="9"/>
  <c r="C73" i="9" s="1"/>
  <c r="C93" i="9"/>
  <c r="C86" i="9" s="1"/>
  <c r="C85" i="9"/>
  <c r="C64" i="9"/>
  <c r="C63" i="9" s="1"/>
  <c r="C67" i="9" s="1"/>
  <c r="D52" i="9"/>
  <c r="D55" i="9"/>
  <c r="M53" i="9" s="1"/>
  <c r="C72" i="9"/>
  <c r="C79" i="9" s="1"/>
  <c r="D6" i="53"/>
  <c r="B22" i="72" s="1"/>
  <c r="B20" i="72"/>
  <c r="C5" i="74"/>
  <c r="D7" i="53"/>
  <c r="B21" i="72" s="1"/>
  <c r="H108" i="9"/>
  <c r="D13" i="53"/>
  <c r="D122" i="9"/>
  <c r="G14" i="74" s="1"/>
  <c r="B6" i="74" s="1"/>
  <c r="D6" i="74" s="1"/>
  <c r="M49" i="9"/>
  <c r="D4" i="52" l="1"/>
  <c r="B47" i="72" s="1"/>
  <c r="D119" i="9"/>
  <c r="D5" i="52" s="1"/>
  <c r="B49" i="72" s="1"/>
  <c r="D59" i="9"/>
  <c r="M55" i="9" s="1"/>
  <c r="C68" i="9"/>
  <c r="D54" i="9" s="1"/>
  <c r="D48" i="9" s="1"/>
  <c r="M52" i="9" s="1"/>
  <c r="L64" i="9"/>
  <c r="M64" i="9" s="1"/>
  <c r="L66" i="9"/>
  <c r="M66" i="9" s="1"/>
  <c r="L68" i="9"/>
  <c r="M68" i="9" s="1"/>
  <c r="L63" i="9"/>
  <c r="M63" i="9" s="1"/>
  <c r="L65" i="9"/>
  <c r="M65" i="9" s="1"/>
  <c r="L67" i="9"/>
  <c r="M67" i="9" s="1"/>
  <c r="B30" i="72"/>
  <c r="D14" i="53"/>
  <c r="B32" i="72" s="1"/>
  <c r="C80" i="9"/>
  <c r="E80" i="9" s="1"/>
  <c r="E81" i="9" s="1"/>
  <c r="C95" i="9"/>
  <c r="D8" i="52"/>
  <c r="D123" i="9"/>
  <c r="D9" i="52" s="1"/>
  <c r="C6" i="74"/>
  <c r="D15" i="53"/>
  <c r="B31" i="72" s="1"/>
  <c r="C96" i="9" l="1"/>
  <c r="E96" i="9" s="1"/>
  <c r="E97" i="9" s="1"/>
  <c r="C81" i="9"/>
  <c r="M69" i="9"/>
  <c r="N69" i="9" s="1"/>
  <c r="C97" i="9" l="1"/>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<sst xmlns="http://schemas.openxmlformats.org/spreadsheetml/2006/main" count="7999" uniqueCount="3522">
  <si>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</si>
  <si>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</si>
  <si>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</si>
  <si>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</si>
  <si>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</si>
  <si>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</si>
  <si>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</si>
  <si>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</si>
  <si>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</si>
  <si>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</si>
  <si>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</si>
  <si>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</si>
  <si>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</si>
  <si>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</si>
  <si>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</si>
  <si>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</si>
  <si>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</si>
  <si>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</si>
  <si>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</si>
  <si>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</si>
  <si>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</si>
  <si>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</si>
  <si>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</si>
  <si>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</si>
  <si>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</si>
  <si>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</si>
  <si>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</si>
  <si>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</si>
  <si>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</si>
  <si>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</si>
  <si>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</si>
  <si>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</si>
  <si>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</si>
  <si>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</si>
  <si>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</si>
  <si>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</si>
  <si>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</si>
  <si>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</si>
  <si>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</si>
  <si>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</si>
  <si>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</si>
  <si>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</si>
  <si>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</si>
  <si>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</si>
  <si>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</si>
  <si>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</si>
  <si>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</si>
  <si>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</si>
  <si>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</si>
  <si>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</si>
  <si>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</si>
  <si>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</si>
  <si>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</si>
  <si>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</si>
  <si>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</si>
  <si>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</si>
  <si>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</si>
  <si>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</si>
  <si>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</si>
  <si>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</si>
  <si>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</si>
  <si>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</si>
  <si>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</si>
  <si>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</si>
  <si>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</si>
  <si>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</si>
  <si>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</si>
  <si>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</si>
  <si>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</si>
  <si>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</si>
  <si>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</si>
  <si>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</si>
  <si>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</si>
  <si>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</si>
  <si>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</si>
  <si>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</si>
  <si>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</si>
  <si>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</si>
  <si>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</si>
  <si>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</si>
  <si>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</si>
  <si>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</si>
  <si>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</si>
  <si>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</si>
  <si>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</si>
  <si>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</si>
  <si>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</si>
  <si>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</si>
  <si>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</si>
  <si>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</si>
  <si>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</si>
  <si>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</si>
  <si>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</si>
  <si>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</si>
  <si>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</si>
  <si>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</si>
  <si>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</si>
  <si>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</si>
  <si>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</si>
  <si>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</si>
  <si>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</si>
  <si>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</si>
  <si>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</si>
  <si>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</si>
  <si>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</si>
  <si>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</si>
  <si>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</si>
  <si>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</si>
  <si>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</si>
  <si>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</si>
  <si>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</si>
  <si>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</si>
  <si>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</si>
  <si>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</si>
  <si>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</si>
  <si>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</si>
  <si>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</si>
  <si>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</si>
  <si>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</si>
  <si>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</si>
  <si>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</si>
  <si>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</si>
  <si>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</si>
  <si>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</si>
  <si>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</si>
  <si>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</si>
  <si>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</si>
  <si>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</si>
  <si>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</si>
  <si>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</si>
  <si>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</si>
  <si>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</si>
  <si>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</si>
  <si>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</si>
  <si>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</si>
  <si>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</si>
  <si>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</si>
  <si>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</si>
  <si>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</si>
  <si>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</si>
  <si>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</si>
  <si>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</si>
  <si>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</si>
  <si>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</si>
  <si>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</si>
  <si>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</si>
  <si>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</si>
  <si>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</si>
  <si>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</si>
  <si>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</si>
  <si>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</si>
  <si>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</si>
  <si>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</si>
  <si>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</si>
  <si>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</si>
  <si>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</si>
  <si>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</si>
  <si>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</si>
  <si>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</si>
  <si>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</si>
  <si>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</si>
  <si>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</si>
  <si>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</si>
  <si>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</si>
  <si>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</si>
  <si>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</si>
  <si>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</si>
  <si>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</si>
  <si>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</si>
  <si>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</si>
  <si>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</si>
  <si>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</si>
  <si>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</si>
  <si>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</si>
  <si>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</si>
  <si>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</si>
  <si>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</si>
  <si>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</si>
  <si>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</si>
  <si>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</si>
  <si>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</si>
  <si>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</si>
  <si>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</si>
  <si>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</si>
  <si>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</si>
  <si>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</si>
  <si>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</si>
  <si>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</si>
  <si>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</si>
  <si>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</si>
  <si>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</si>
  <si>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</si>
  <si>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</si>
  <si>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</si>
  <si>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</si>
  <si>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</si>
  <si>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</si>
  <si>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</si>
  <si>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</si>
  <si>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</si>
  <si>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</si>
  <si>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</si>
  <si>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</si>
  <si>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</si>
  <si>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</si>
  <si>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</si>
  <si>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</si>
  <si>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</si>
  <si>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</si>
  <si>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</si>
  <si>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</si>
  <si>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</si>
  <si>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</si>
  <si>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</si>
  <si>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</si>
  <si>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</si>
  <si>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</si>
  <si>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</si>
  <si>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</si>
  <si>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</si>
  <si>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</si>
  <si>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</si>
  <si>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</si>
  <si>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</si>
  <si>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</si>
  <si>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</si>
  <si>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</si>
  <si>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</si>
  <si>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</si>
  <si>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</si>
  <si>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</si>
  <si>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</si>
  <si>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</si>
  <si>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</si>
  <si>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</si>
  <si>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</si>
  <si>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</si>
  <si>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</si>
  <si>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</si>
  <si>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</si>
  <si>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</si>
  <si>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</si>
  <si>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</si>
  <si>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</si>
  <si>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</si>
  <si>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</si>
  <si>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</si>
  <si>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</si>
  <si>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</si>
  <si>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</si>
  <si>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</si>
  <si>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</si>
  <si>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</si>
  <si>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</si>
  <si>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</si>
  <si>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</si>
  <si>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</si>
  <si>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</si>
  <si>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</si>
  <si>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</si>
  <si>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</si>
  <si>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</si>
  <si>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</si>
  <si>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</si>
  <si>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</si>
  <si>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</si>
  <si>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</si>
  <si>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</si>
  <si>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</si>
  <si>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</si>
  <si>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</si>
  <si>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</si>
  <si>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</si>
  <si>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</si>
  <si>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</si>
  <si>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</si>
  <si>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</si>
  <si>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</si>
  <si>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</si>
  <si>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</si>
  <si>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</si>
  <si>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</si>
  <si>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</si>
  <si>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</si>
  <si>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</si>
  <si>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</si>
  <si>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</si>
  <si>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</si>
  <si>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</si>
  <si>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</si>
  <si>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</si>
  <si>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</si>
  <si>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</si>
  <si>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</si>
  <si>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</si>
  <si>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</si>
  <si>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</si>
  <si>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</si>
  <si>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</si>
  <si>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</si>
  <si>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</si>
  <si>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</si>
  <si>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</si>
  <si>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</si>
  <si>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</si>
  <si>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</si>
  <si>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</si>
  <si>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</si>
  <si>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</si>
  <si>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</si>
  <si>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</si>
  <si>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</si>
  <si>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</si>
  <si>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</si>
  <si>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</si>
  <si>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</si>
  <si>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</si>
  <si>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</si>
  <si>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</si>
  <si>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</si>
  <si>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</si>
  <si>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</si>
  <si>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</si>
  <si>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</si>
  <si>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</si>
  <si>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</si>
  <si>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</si>
  <si>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</si>
  <si>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</si>
  <si>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</si>
  <si>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</si>
  <si>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</si>
  <si>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</si>
  <si>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</si>
  <si>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</si>
  <si>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</si>
  <si>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</si>
  <si>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</si>
  <si>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</si>
  <si>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</si>
  <si>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</si>
  <si>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</si>
  <si>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</si>
  <si>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</si>
  <si>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</si>
  <si>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</si>
  <si>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</si>
  <si>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</si>
  <si>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</si>
  <si>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</si>
  <si>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</si>
  <si>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</si>
  <si>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</si>
  <si>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</si>
  <si>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</si>
  <si>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</si>
  <si>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</si>
  <si>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</si>
  <si>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</si>
  <si>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</si>
  <si>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</si>
  <si>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</si>
  <si>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</si>
  <si>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</si>
  <si>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</si>
  <si>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</si>
  <si>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</si>
  <si>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</si>
  <si>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</si>
  <si>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</si>
  <si>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</si>
  <si>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</si>
  <si>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</si>
  <si>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</si>
  <si>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</si>
  <si>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</si>
  <si>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</si>
  <si>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</si>
  <si>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</si>
  <si>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</si>
  <si>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</si>
  <si>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</si>
  <si>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</si>
  <si>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</si>
  <si>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</si>
  <si>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</si>
  <si>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</si>
  <si>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</si>
  <si>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</si>
  <si>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</si>
  <si>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</si>
  <si>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</si>
  <si>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</si>
  <si>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</si>
  <si>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</si>
  <si>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</si>
  <si>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</si>
  <si>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</si>
  <si>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</si>
  <si>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</si>
  <si>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</si>
  <si>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</si>
  <si>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</si>
  <si>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</si>
  <si>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</si>
  <si>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</si>
  <si>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</si>
  <si>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</si>
  <si>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</si>
  <si>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</si>
  <si>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</si>
  <si>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</si>
  <si>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</si>
  <si>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</si>
  <si>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</si>
  <si>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</si>
  <si>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</si>
  <si>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</si>
  <si>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</si>
  <si>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</si>
  <si>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</si>
  <si>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</si>
  <si>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</si>
  <si>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</si>
  <si>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</si>
  <si>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</si>
  <si>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</si>
  <si>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</si>
  <si>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</si>
  <si>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</si>
  <si>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</si>
  <si>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</si>
  <si>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</si>
  <si>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</si>
  <si>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</si>
  <si>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</si>
  <si>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</si>
  <si>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</si>
  <si>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</si>
  <si>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</si>
  <si>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</si>
  <si>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</si>
  <si>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</si>
  <si>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</si>
  <si>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</si>
  <si>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</si>
  <si>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</si>
  <si>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</si>
  <si>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</si>
  <si>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</si>
  <si>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</si>
  <si>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</si>
  <si>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</si>
  <si>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</si>
  <si>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</si>
  <si>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</si>
  <si>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</si>
  <si>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</si>
  <si>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</si>
  <si>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</si>
  <si>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</si>
  <si>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</si>
  <si>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</si>
  <si>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</si>
  <si>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</si>
  <si>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</si>
  <si>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</si>
  <si>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</si>
  <si>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</si>
  <si>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</si>
  <si>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</si>
  <si>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</si>
  <si>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</si>
  <si>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</si>
  <si>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</si>
  <si>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</si>
  <si>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</si>
  <si>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</si>
  <si>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</si>
  <si>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</si>
  <si>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</si>
  <si>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</si>
  <si>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</si>
  <si>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</si>
  <si>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</si>
  <si>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</si>
  <si>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</si>
  <si>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</si>
  <si>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</si>
  <si>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</si>
  <si>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</si>
  <si>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</si>
  <si>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</si>
  <si>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</si>
  <si>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</si>
  <si>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</si>
  <si>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</si>
  <si>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</si>
  <si>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</si>
  <si>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</si>
  <si>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</si>
  <si>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</si>
  <si>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</si>
  <si>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</si>
  <si>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</si>
  <si>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</si>
  <si>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</si>
  <si>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</si>
  <si>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</si>
  <si>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</si>
  <si>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</si>
  <si>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</si>
  <si>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</si>
  <si>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</si>
  <si>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</si>
  <si>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</si>
  <si>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</si>
  <si>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</si>
  <si>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</si>
  <si>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</si>
  <si>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</si>
  <si>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</si>
  <si>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</si>
  <si>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</si>
  <si>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</si>
  <si>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</si>
  <si>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</si>
  <si>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</si>
  <si>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</si>
  <si>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</si>
  <si>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</si>
  <si>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</si>
  <si>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</si>
  <si>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</si>
  <si>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</si>
  <si>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</si>
  <si>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</si>
  <si>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</si>
  <si>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</si>
  <si>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</si>
  <si>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</si>
  <si>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</si>
  <si>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</si>
  <si>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</si>
  <si>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</si>
  <si>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</si>
  <si>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</si>
  <si>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</si>
  <si>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</si>
  <si>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</si>
  <si>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</si>
  <si>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</si>
  <si>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</si>
  <si>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</si>
  <si>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</si>
  <si>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</si>
  <si>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</si>
  <si>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</si>
  <si>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</si>
  <si>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</si>
  <si>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</si>
  <si>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</si>
  <si>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</si>
  <si>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</si>
  <si>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</si>
  <si>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</si>
  <si>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</si>
  <si>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</si>
  <si>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</si>
  <si>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</si>
  <si>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</si>
  <si>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</si>
  <si>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</si>
  <si>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</si>
  <si>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</si>
  <si>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</si>
  <si>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</si>
  <si>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</si>
  <si>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</si>
  <si>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</si>
  <si>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</si>
  <si>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</si>
  <si>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</si>
  <si>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</si>
  <si>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</si>
  <si>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</si>
  <si>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</si>
  <si>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</si>
  <si>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</si>
  <si>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</si>
  <si>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</si>
  <si>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</si>
  <si>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</si>
  <si>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</si>
  <si>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</si>
  <si>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</si>
  <si>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</si>
  <si>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</si>
  <si>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</si>
  <si>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</si>
  <si>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</si>
  <si>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</si>
  <si>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</si>
  <si>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</si>
  <si>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</si>
  <si>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</si>
  <si>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</si>
  <si>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</si>
  <si>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</si>
  <si>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</si>
  <si>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</si>
  <si>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</si>
  <si>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</si>
  <si>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</si>
  <si>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</si>
  <si>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</si>
  <si>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</si>
  <si>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</si>
  <si>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</si>
  <si>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</si>
  <si>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</si>
  <si>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</si>
  <si>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</si>
  <si>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</si>
  <si>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</si>
  <si>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</si>
  <si>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</si>
  <si>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</si>
  <si>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</si>
  <si>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</si>
  <si>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</si>
  <si>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</si>
  <si>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</si>
  <si>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</si>
  <si>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</si>
  <si>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</si>
  <si>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</si>
  <si>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</si>
  <si>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</si>
  <si>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</si>
  <si>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</si>
  <si>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</si>
  <si>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</si>
  <si>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</si>
  <si>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</si>
  <si>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</si>
  <si>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</si>
  <si>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</si>
  <si>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</si>
  <si>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</si>
  <si>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</si>
  <si>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</si>
  <si>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</si>
  <si>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</si>
  <si>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</si>
  <si>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</si>
  <si>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</si>
  <si>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</si>
  <si>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</si>
  <si>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</si>
  <si>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</si>
  <si>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</si>
  <si>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</si>
  <si>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</si>
  <si>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</si>
  <si>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</si>
  <si>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</si>
  <si>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</si>
  <si>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</si>
  <si>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</si>
  <si>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</si>
  <si>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</si>
  <si>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</si>
  <si>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</si>
  <si>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</si>
  <si>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</si>
  <si>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</si>
  <si>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</si>
  <si>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</si>
  <si>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</si>
  <si>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</si>
  <si>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</si>
  <si>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</si>
  <si>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</si>
  <si>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</si>
  <si>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</si>
  <si>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</si>
  <si>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</si>
  <si>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</si>
  <si>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</si>
  <si>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</si>
  <si>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</si>
  <si>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</si>
  <si>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</si>
  <si>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</si>
  <si>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</si>
  <si>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</si>
  <si>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</si>
  <si>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</si>
  <si>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</si>
  <si>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</si>
  <si>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</si>
  <si>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</si>
  <si>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</si>
  <si>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</si>
  <si>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</si>
  <si>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</si>
  <si>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</si>
  <si>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</si>
  <si>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</si>
  <si>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</si>
  <si>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</si>
  <si>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</si>
  <si>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</si>
  <si>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</si>
  <si>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</si>
  <si>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</si>
  <si>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</si>
  <si>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</si>
  <si>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</si>
  <si>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</si>
  <si>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</si>
  <si>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</si>
  <si>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</si>
  <si>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</si>
  <si>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</si>
  <si>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</si>
  <si>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</si>
  <si>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</si>
  <si>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</si>
  <si>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</si>
  <si>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</si>
  <si>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</si>
  <si>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</si>
  <si>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</si>
  <si>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</si>
  <si>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</si>
  <si>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</si>
  <si>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</si>
  <si>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</si>
  <si>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</si>
  <si>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</si>
  <si>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</si>
  <si>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</si>
  <si>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</si>
  <si>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</si>
  <si>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</si>
  <si>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</si>
  <si>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</si>
  <si>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</si>
  <si>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</si>
  <si>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</si>
  <si>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</si>
  <si>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</si>
  <si>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</si>
  <si>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</si>
  <si>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</si>
  <si>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</si>
  <si>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</si>
  <si>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</si>
  <si>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</si>
  <si>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</si>
  <si>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</si>
  <si>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</si>
  <si>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</si>
  <si>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</si>
  <si>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</si>
  <si>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</si>
  <si>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</si>
  <si>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</si>
  <si>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</si>
  <si>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</si>
  <si>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</si>
  <si>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</si>
  <si>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</si>
  <si>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</si>
  <si>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</si>
  <si>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</si>
  <si>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</si>
  <si>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</si>
  <si>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</si>
  <si>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</si>
  <si>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</si>
  <si>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</si>
  <si>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</si>
  <si>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</si>
  <si>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</si>
  <si>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</si>
  <si>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</si>
  <si>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</si>
  <si>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</si>
  <si>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</si>
  <si>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</si>
  <si>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</si>
  <si>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</si>
  <si>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</si>
  <si>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</si>
  <si>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</si>
  <si>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</si>
  <si>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</si>
  <si>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</si>
  <si>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</si>
  <si>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</si>
  <si>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</si>
  <si>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</si>
  <si>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</si>
  <si>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</si>
  <si>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</si>
  <si>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</si>
  <si>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</si>
  <si>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</si>
  <si>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</si>
  <si>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</si>
  <si>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</si>
  <si>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</si>
  <si>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</si>
  <si>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</si>
  <si>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</si>
  <si>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</si>
  <si>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</si>
  <si>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</si>
  <si>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</si>
  <si>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</si>
  <si>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</si>
  <si>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</si>
  <si>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</si>
  <si>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</si>
  <si>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</si>
  <si>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</si>
  <si>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</si>
  <si>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</si>
  <si>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</si>
  <si>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</si>
  <si>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</si>
  <si>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</si>
  <si>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</si>
  <si>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</si>
  <si>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</si>
  <si>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</si>
  <si>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</si>
  <si>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</si>
  <si>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</si>
  <si>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</si>
  <si>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</si>
  <si>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</si>
  <si>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</si>
  <si>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</si>
  <si>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</si>
  <si>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</si>
  <si>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</si>
  <si>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</si>
  <si>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</si>
  <si>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</si>
  <si>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</si>
  <si>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</si>
  <si>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</si>
  <si>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</si>
  <si>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</si>
  <si>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</si>
  <si>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</si>
  <si>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</si>
  <si>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</si>
  <si>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</si>
  <si>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</si>
  <si>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</si>
  <si>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</si>
  <si>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</si>
  <si>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</si>
  <si>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</si>
  <si>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</si>
  <si>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</si>
  <si>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</si>
  <si>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</si>
  <si>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</si>
  <si>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</si>
  <si>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</si>
  <si>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</si>
  <si>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</si>
  <si>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</si>
  <si>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</si>
  <si>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</si>
  <si>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</si>
  <si>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</si>
  <si>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</si>
  <si>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</si>
  <si>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</si>
  <si>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</si>
  <si>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</si>
  <si>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</si>
  <si>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</si>
  <si>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</si>
  <si>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</si>
  <si>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</si>
  <si>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</si>
  <si>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</si>
  <si>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</si>
  <si>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</si>
  <si>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</si>
  <si>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</si>
  <si>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</si>
  <si>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</si>
  <si>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</si>
  <si>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</si>
  <si>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</si>
  <si>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</si>
  <si>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</si>
  <si>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</si>
  <si>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</si>
  <si>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</si>
  <si>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</si>
  <si>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</si>
  <si>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</si>
  <si>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</si>
  <si>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</si>
  <si>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</si>
  <si>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</si>
  <si>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</si>
  <si>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</si>
  <si>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</si>
  <si>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</si>
  <si>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</si>
  <si>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</si>
  <si>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</si>
  <si>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</si>
  <si>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</si>
  <si>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</si>
  <si>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</si>
  <si>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</si>
  <si>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</si>
  <si>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</si>
  <si>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</si>
  <si>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</si>
  <si>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</si>
  <si>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</si>
  <si>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</si>
  <si>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</si>
  <si>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</si>
  <si>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</si>
  <si>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</si>
  <si>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</si>
  <si>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</si>
  <si>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</si>
  <si>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</si>
  <si>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</si>
  <si>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</si>
  <si>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</si>
  <si>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</si>
  <si>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</si>
  <si>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</si>
  <si>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</si>
  <si>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</si>
  <si>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</si>
  <si>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</si>
  <si>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</si>
  <si>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</si>
  <si>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</si>
  <si>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</si>
  <si>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</si>
  <si>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</si>
  <si>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</si>
  <si>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</si>
  <si>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</si>
  <si>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</si>
  <si>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</si>
  <si>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</si>
  <si>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</si>
  <si>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</si>
  <si>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</si>
  <si>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</si>
  <si>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</si>
  <si>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</si>
  <si>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</si>
  <si>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</si>
  <si>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</si>
  <si>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</si>
  <si>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</si>
  <si>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</si>
  <si>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</si>
  <si>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</si>
  <si>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</si>
  <si>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</si>
  <si>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</si>
  <si>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</si>
  <si>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</si>
  <si>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</si>
  <si>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</si>
  <si>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</si>
  <si>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</si>
  <si>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</si>
  <si>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</si>
  <si>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</si>
  <si>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</si>
  <si>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</si>
  <si>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</si>
  <si>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</si>
  <si>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</si>
  <si>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</si>
  <si>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</si>
  <si>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</si>
  <si>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</si>
  <si>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</si>
  <si>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</si>
  <si>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</si>
  <si>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</si>
  <si>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</si>
  <si>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</si>
  <si>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</si>
  <si>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</si>
  <si>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</si>
  <si>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</si>
  <si>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</si>
  <si>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</si>
  <si>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</si>
  <si>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</si>
  <si>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</si>
  <si>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</si>
  <si>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</si>
  <si>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</si>
  <si>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</si>
  <si>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</si>
  <si>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</si>
  <si>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</si>
  <si>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</si>
  <si>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</si>
  <si>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</si>
  <si>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</si>
  <si>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</si>
  <si>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</si>
  <si>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</si>
  <si>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</si>
  <si>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</si>
  <si>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</si>
  <si>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</si>
  <si>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</si>
  <si>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</si>
  <si>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</si>
  <si>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</si>
  <si>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</si>
  <si>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</si>
  <si>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</si>
  <si>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</si>
  <si>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</si>
  <si>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</si>
  <si>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</si>
  <si>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</si>
  <si>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</si>
  <si>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</si>
  <si>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</si>
  <si>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</si>
  <si>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</si>
  <si>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</si>
  <si>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</si>
  <si>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</si>
  <si>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</si>
  <si>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</si>
  <si>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</si>
  <si>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</si>
  <si>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</si>
  <si>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</si>
  <si>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</si>
  <si>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</si>
  <si>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</si>
  <si>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</si>
  <si>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</si>
  <si>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</si>
  <si>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</si>
  <si>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</si>
  <si>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</si>
  <si>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</si>
  <si>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</si>
  <si>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</si>
  <si>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</si>
  <si>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</si>
  <si>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</si>
  <si>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</si>
  <si>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</si>
  <si>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</si>
  <si>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</si>
  <si>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</si>
  <si>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</si>
  <si>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</si>
  <si>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</si>
  <si>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</si>
  <si>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</si>
  <si>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</si>
  <si>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</si>
  <si>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</si>
  <si>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</si>
  <si>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</si>
  <si>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</si>
  <si>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</si>
  <si>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</si>
  <si>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</si>
  <si>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</si>
  <si>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</si>
  <si>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</si>
  <si>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</si>
  <si>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</si>
  <si>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</si>
  <si>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</si>
  <si>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</si>
  <si>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</si>
  <si>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</si>
  <si>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</si>
  <si>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</si>
  <si>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</si>
  <si>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</si>
  <si>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</si>
  <si>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</si>
  <si>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</si>
  <si>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</si>
  <si>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</si>
  <si>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</si>
  <si>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</si>
  <si>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</si>
  <si>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</si>
  <si>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</si>
  <si>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</si>
  <si>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</si>
  <si>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</si>
  <si>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</si>
  <si>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</si>
  <si>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</si>
  <si>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</si>
  <si>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</si>
  <si>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</si>
  <si>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</si>
  <si>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</si>
  <si>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</si>
  <si>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</si>
  <si>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</si>
  <si>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</si>
  <si>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</si>
  <si>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</si>
  <si>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</si>
  <si>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</si>
  <si>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</si>
  <si>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</si>
  <si>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</si>
  <si>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</si>
  <si>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</si>
  <si>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</si>
  <si>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</si>
  <si>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</si>
  <si>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</si>
  <si>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</si>
  <si>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</si>
  <si>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</si>
  <si>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</si>
  <si>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</si>
  <si>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</si>
  <si>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</si>
  <si>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</si>
  <si>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</si>
  <si>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</si>
  <si>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</si>
  <si>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</si>
  <si>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</si>
  <si>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</si>
  <si>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</si>
  <si>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</si>
  <si>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</si>
  <si>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</si>
  <si>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</si>
  <si>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</si>
  <si>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</si>
  <si>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</si>
  <si>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</si>
  <si>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</si>
  <si>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</si>
  <si>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</si>
  <si>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</si>
  <si>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</si>
  <si>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</si>
  <si>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</si>
  <si>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</si>
  <si>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</si>
  <si>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</si>
  <si>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</si>
  <si>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</si>
  <si>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</si>
  <si>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</si>
  <si>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</si>
  <si>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</si>
  <si>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</si>
  <si>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</si>
  <si>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</si>
  <si>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</si>
  <si>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</si>
  <si>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</si>
  <si>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</si>
  <si>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</si>
  <si>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</si>
  <si>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</si>
  <si>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</si>
  <si>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</si>
  <si>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</si>
  <si>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</si>
  <si>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</si>
  <si>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</si>
  <si>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</si>
  <si>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</si>
  <si>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</si>
  <si>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</si>
  <si>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</si>
  <si>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</si>
  <si>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</si>
  <si>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</si>
  <si>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</si>
  <si>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</si>
  <si>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</si>
  <si>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</si>
  <si>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</si>
  <si>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</si>
  <si>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</si>
  <si>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</si>
  <si>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</si>
  <si>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</si>
  <si>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</si>
  <si>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</si>
  <si>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</si>
  <si>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</si>
  <si>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</si>
  <si>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</si>
  <si>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</si>
  <si>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</si>
  <si>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</si>
  <si>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</si>
  <si>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</si>
  <si>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</si>
  <si>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</si>
  <si>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</si>
  <si>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</si>
  <si>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</si>
  <si>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</si>
  <si>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</si>
  <si>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</si>
  <si>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</si>
  <si>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</si>
  <si>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</si>
  <si>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</si>
  <si>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</si>
  <si>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</si>
  <si>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</si>
  <si>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</si>
  <si>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</si>
  <si>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</si>
  <si>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</si>
  <si>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</si>
  <si>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</si>
  <si>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</si>
  <si>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</si>
  <si>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</si>
  <si>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</si>
  <si>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</si>
  <si>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</si>
  <si>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</si>
  <si>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</si>
  <si>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</si>
  <si>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</si>
  <si>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</si>
  <si>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</si>
  <si>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</si>
  <si>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</si>
  <si>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</si>
  <si>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</si>
  <si>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</si>
  <si>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</si>
  <si>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</si>
  <si>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</si>
  <si>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</si>
  <si>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</si>
  <si>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</si>
  <si>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</si>
  <si>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</si>
  <si>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</si>
  <si>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</si>
  <si>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</si>
  <si>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</si>
  <si>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</si>
  <si>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</si>
  <si>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</si>
  <si>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</si>
  <si>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</si>
  <si>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</si>
  <si>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</si>
  <si>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</si>
  <si>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</si>
  <si>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</si>
  <si>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</si>
  <si>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</si>
  <si>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</si>
  <si>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</si>
  <si>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</si>
  <si>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</si>
  <si>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</si>
  <si>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</si>
  <si>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</si>
  <si>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</si>
  <si>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</si>
  <si>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</si>
  <si>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</si>
  <si>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</si>
  <si>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</si>
  <si>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</si>
  <si>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</si>
  <si>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</si>
  <si>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</si>
  <si>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</si>
  <si>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</si>
  <si>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</si>
  <si>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</si>
  <si>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</si>
  <si>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</si>
  <si>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</si>
  <si>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</si>
  <si>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</si>
  <si>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</si>
  <si>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</si>
  <si>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</si>
  <si>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</si>
  <si>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</si>
  <si>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</si>
  <si>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</si>
  <si>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</si>
  <si>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</si>
  <si>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</si>
  <si>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</si>
  <si>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</si>
  <si>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</si>
  <si>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</si>
  <si>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</si>
  <si>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</si>
  <si>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</si>
  <si>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</si>
  <si>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</si>
  <si>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</si>
  <si>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</si>
  <si>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</si>
  <si>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</si>
  <si>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</si>
  <si>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</si>
  <si>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</si>
  <si>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</si>
  <si>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</si>
  <si>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</si>
  <si>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</si>
  <si>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</si>
  <si>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</si>
  <si>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</si>
  <si>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</si>
  <si>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</si>
  <si>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</si>
  <si>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</si>
  <si>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</si>
  <si>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</si>
  <si>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</si>
  <si>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</si>
  <si>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</si>
  <si>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</si>
  <si>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</si>
  <si>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</si>
  <si>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</si>
  <si>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</si>
  <si>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</si>
  <si>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</si>
  <si>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</si>
  <si>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</si>
  <si>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</si>
  <si>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</si>
  <si>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</si>
  <si>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</si>
  <si>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</si>
  <si>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</si>
  <si>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</si>
  <si>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</si>
  <si>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</si>
  <si>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</si>
  <si>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</si>
  <si>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</si>
  <si>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</si>
  <si>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</si>
  <si>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</si>
  <si>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</si>
  <si>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</si>
  <si>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</si>
  <si>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</si>
  <si>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</si>
  <si>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</si>
  <si>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</si>
  <si>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</si>
  <si>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</si>
  <si>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</si>
  <si>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</si>
  <si>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</si>
  <si>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</si>
  <si>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</si>
  <si>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</si>
  <si>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</si>
  <si>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</si>
  <si>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</si>
  <si>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</si>
  <si>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</si>
  <si>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</si>
  <si>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</si>
  <si>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</si>
  <si>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</si>
  <si>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</si>
  <si>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</si>
  <si>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</si>
  <si>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</si>
  <si>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</si>
  <si>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</si>
  <si>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</si>
  <si>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</si>
  <si>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</si>
  <si>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</si>
  <si>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</si>
  <si>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</si>
  <si>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</si>
  <si>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</si>
  <si>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</si>
  <si>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</si>
  <si>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</si>
  <si>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</si>
  <si>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</si>
  <si>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</si>
  <si>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</si>
  <si>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</si>
  <si>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</si>
  <si>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</si>
  <si>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</si>
  <si>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</si>
  <si>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</si>
  <si>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</si>
  <si>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</si>
  <si>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</si>
  <si>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</si>
  <si>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</si>
  <si>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</si>
  <si>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</si>
  <si>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</si>
  <si>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</si>
  <si>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</si>
  <si>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</si>
  <si>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</si>
  <si>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</si>
  <si>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</si>
  <si>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</si>
  <si>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</si>
  <si>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</si>
  <si>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</si>
  <si>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</si>
  <si>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</si>
  <si>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</si>
  <si>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</si>
  <si>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</si>
  <si>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</si>
  <si>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</si>
  <si>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</si>
  <si>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</si>
  <si>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</si>
  <si>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</si>
  <si>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</si>
  <si>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</si>
  <si>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</si>
  <si>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</si>
  <si>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</si>
  <si>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</si>
  <si>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</si>
  <si>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</si>
  <si>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</si>
  <si>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</si>
  <si>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</si>
  <si>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</si>
  <si>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</si>
  <si>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</si>
  <si>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</si>
  <si>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</si>
  <si>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</si>
  <si>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</si>
  <si>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</si>
  <si>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</si>
  <si>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</si>
  <si>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</si>
  <si>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</si>
  <si>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</si>
  <si>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</si>
  <si>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</si>
  <si>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</si>
  <si>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</si>
  <si>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</si>
  <si>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</si>
  <si>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</si>
  <si>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</si>
  <si>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</si>
  <si>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</si>
  <si>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</si>
  <si>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</si>
  <si>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</si>
  <si>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</si>
  <si>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</si>
  <si>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</si>
  <si>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</si>
  <si>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</si>
  <si>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</si>
  <si>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</si>
  <si>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</si>
  <si>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</si>
  <si>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</si>
  <si>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</si>
  <si>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</si>
  <si>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</si>
  <si>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</si>
  <si>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</si>
  <si>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</si>
  <si>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</si>
  <si>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</si>
  <si>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</si>
  <si>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</si>
  <si>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</si>
  <si>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</si>
  <si>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</si>
  <si>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</si>
  <si>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</si>
  <si>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</si>
  <si>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</si>
  <si>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</si>
  <si>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</si>
  <si>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</si>
  <si>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</si>
  <si>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</si>
  <si>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</si>
  <si>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</si>
  <si>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</si>
  <si>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</si>
  <si>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</si>
  <si>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</si>
  <si>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</si>
  <si>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</si>
  <si>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</si>
  <si>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</si>
  <si>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</si>
  <si>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</si>
  <si>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</si>
  <si>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</si>
  <si>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</si>
  <si>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</si>
  <si>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</si>
  <si>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</si>
  <si>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</si>
  <si>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</si>
  <si>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</si>
  <si>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</si>
  <si>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</si>
  <si>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</si>
  <si>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</si>
  <si>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</si>
  <si>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</si>
  <si>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</si>
  <si>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</si>
  <si>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</si>
  <si>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</si>
  <si>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</si>
  <si>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</si>
  <si>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</si>
  <si>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</si>
  <si>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</si>
  <si>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</si>
  <si>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</si>
  <si>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</si>
  <si>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</si>
  <si>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</si>
  <si>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</si>
  <si>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</si>
  <si>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</si>
  <si>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</si>
  <si>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</si>
  <si>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</si>
  <si>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</si>
  <si>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</si>
  <si>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</si>
  <si>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</si>
  <si>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</si>
  <si>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</si>
  <si>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</si>
  <si>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</si>
  <si>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</si>
  <si>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</si>
  <si>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</si>
  <si>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</si>
  <si>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</si>
  <si>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</si>
  <si>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</si>
  <si>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</si>
  <si>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</si>
  <si>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</si>
  <si>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</si>
  <si>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</si>
  <si>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</si>
  <si>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</si>
  <si>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</si>
  <si>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</si>
  <si>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</si>
  <si>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</si>
  <si>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</si>
  <si>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</si>
  <si>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</si>
  <si>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</si>
  <si>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</si>
  <si>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</si>
  <si>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</si>
  <si>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</si>
  <si>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</si>
  <si>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</si>
  <si>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</si>
  <si>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</si>
  <si>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</si>
  <si>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</si>
  <si>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</si>
  <si>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</si>
  <si>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</si>
  <si>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</si>
  <si>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</si>
  <si>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</si>
  <si>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</si>
  <si>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</si>
  <si>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</si>
  <si>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</si>
  <si>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</si>
  <si>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</si>
  <si>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</si>
  <si>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</si>
  <si>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</si>
  <si>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</si>
  <si>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</si>
  <si>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</si>
  <si>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</si>
  <si>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</si>
  <si>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</si>
  <si>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</si>
  <si>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</si>
  <si>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</si>
  <si>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</si>
  <si>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</si>
  <si>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</si>
  <si>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</si>
  <si>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</si>
  <si>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</si>
  <si>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</si>
  <si>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</si>
  <si>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</si>
  <si>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</si>
  <si>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</si>
  <si>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</si>
  <si>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</si>
  <si>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</si>
  <si>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</si>
  <si>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</si>
  <si>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</si>
  <si>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</si>
  <si>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</si>
  <si>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</si>
  <si>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</si>
  <si>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</si>
  <si>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</si>
  <si>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</si>
  <si>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</si>
  <si>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</si>
  <si>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</si>
  <si>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</si>
  <si>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</si>
  <si>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</si>
  <si>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</si>
  <si>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</si>
  <si>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</si>
  <si>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</si>
  <si>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</si>
  <si>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</si>
  <si>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</si>
  <si>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</si>
  <si>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</si>
  <si>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</si>
  <si>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</si>
  <si>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</si>
  <si>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</si>
  <si>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</si>
  <si>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</si>
  <si>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</si>
  <si>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</si>
  <si>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</si>
  <si>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</si>
  <si>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</si>
  <si>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</si>
  <si>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</si>
  <si>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</si>
  <si>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</si>
  <si>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</si>
  <si>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</si>
  <si>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</si>
  <si>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</si>
  <si>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</si>
  <si>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</si>
  <si>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</si>
  <si>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</si>
  <si>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</si>
  <si>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</si>
  <si>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</si>
  <si>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</si>
  <si>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</si>
  <si>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</si>
  <si>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</si>
  <si>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</si>
  <si>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</si>
  <si>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</si>
  <si>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</si>
  <si>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</si>
  <si>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</si>
  <si>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</si>
  <si>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</si>
  <si>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</si>
  <si>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</si>
  <si>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</si>
  <si>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</si>
  <si>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</si>
  <si>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</si>
  <si>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</si>
  <si>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</si>
  <si>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</si>
  <si>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</si>
  <si>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</si>
  <si>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</si>
  <si>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</si>
  <si>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</si>
  <si>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</si>
  <si>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</si>
  <si>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</si>
  <si>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</si>
  <si>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</si>
  <si>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</si>
  <si>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</si>
  <si>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</si>
  <si>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</si>
  <si>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</si>
  <si>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</si>
  <si>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</si>
  <si>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</si>
  <si>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</si>
  <si>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</si>
  <si>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</si>
  <si>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</si>
  <si>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</si>
  <si>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</si>
  <si>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</si>
  <si>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</si>
  <si>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</si>
  <si>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</si>
  <si>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</si>
  <si>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</si>
  <si>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</si>
  <si>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</si>
  <si>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</si>
  <si>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</si>
  <si>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</si>
  <si>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</si>
  <si>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</si>
  <si>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</si>
  <si>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</si>
  <si>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</si>
  <si>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</si>
  <si>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</si>
  <si>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</si>
  <si>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</si>
  <si>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</si>
  <si>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</si>
  <si>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</si>
  <si>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</si>
  <si>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</si>
  <si>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</si>
  <si>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</si>
  <si>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</si>
  <si>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</si>
  <si>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</si>
  <si>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</si>
  <si>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</si>
  <si>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</si>
  <si>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</si>
  <si>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</si>
  <si>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</si>
  <si>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</si>
  <si>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</si>
  <si>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</si>
  <si>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</si>
  <si>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</si>
  <si>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</si>
  <si>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</si>
  <si>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</si>
  <si>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</si>
  <si>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</si>
  <si>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</si>
  <si>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</si>
  <si>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</si>
  <si>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</si>
  <si>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</si>
  <si>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</si>
  <si>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</si>
  <si>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</si>
  <si>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</si>
  <si>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</si>
  <si>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</si>
  <si>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</si>
  <si>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</si>
  <si>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</si>
  <si>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</si>
  <si>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</si>
  <si>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</si>
  <si>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</si>
  <si>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</si>
  <si>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</si>
  <si>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</si>
  <si>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</si>
  <si>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</si>
  <si>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</si>
  <si>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</si>
  <si>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</si>
  <si>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</si>
  <si>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</si>
  <si>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</si>
  <si>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</si>
  <si>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</si>
  <si>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</si>
  <si>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</si>
  <si>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</si>
  <si>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</si>
  <si>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</si>
  <si>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</si>
  <si>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</si>
  <si>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</si>
  <si>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</si>
  <si>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</si>
  <si>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</si>
  <si>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</si>
  <si>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</si>
  <si>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</si>
  <si>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</si>
  <si>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</si>
  <si>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</si>
  <si>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</si>
  <si>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</si>
  <si>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</si>
  <si>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</si>
  <si>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</si>
  <si>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</si>
  <si>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</si>
  <si>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</si>
  <si>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</si>
  <si>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</si>
  <si>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</si>
  <si>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</si>
  <si>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</si>
  <si>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</si>
  <si>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</si>
  <si>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</si>
  <si>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</si>
  <si>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</si>
  <si>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</si>
  <si>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</si>
  <si>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</si>
  <si>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</si>
  <si>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</si>
  <si>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</si>
  <si>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</si>
  <si>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</si>
  <si>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</si>
  <si>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</si>
  <si>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</si>
  <si>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</si>
  <si>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</si>
  <si>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</si>
  <si>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</si>
  <si>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</si>
  <si>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</si>
  <si>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</si>
  <si>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</si>
  <si>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</si>
  <si>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</si>
  <si>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</si>
  <si>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</si>
  <si>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</si>
  <si>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</si>
  <si>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</si>
  <si>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</si>
  <si>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</si>
  <si>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</si>
  <si>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</si>
  <si>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</si>
  <si>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</si>
  <si>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</si>
  <si>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</si>
  <si>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</si>
  <si>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</si>
  <si>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</si>
  <si>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</si>
  <si>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</si>
  <si>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</si>
  <si>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</si>
  <si>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</si>
  <si>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</si>
  <si>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</si>
  <si>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</si>
  <si>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</si>
  <si>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</si>
  <si>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</si>
  <si>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</si>
  <si>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</si>
  <si>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</si>
  <si>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</si>
  <si>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</si>
  <si>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</si>
  <si>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</si>
  <si>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</si>
  <si>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</si>
  <si>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</si>
  <si>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</si>
  <si>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</si>
  <si>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</si>
  <si>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</si>
  <si>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</si>
  <si>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</si>
  <si>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</si>
  <si>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</si>
  <si>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</si>
  <si>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</si>
  <si>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</si>
  <si>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</si>
  <si>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</si>
  <si>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</si>
  <si>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</si>
  <si>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</si>
  <si>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</si>
  <si>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</si>
  <si>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</si>
  <si>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</si>
  <si>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</si>
  <si>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</si>
  <si>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</si>
  <si>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</si>
  <si>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</si>
  <si>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</si>
  <si>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</si>
  <si>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</si>
  <si>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</si>
  <si>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</si>
  <si>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</si>
  <si>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</si>
  <si>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</si>
  <si>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</si>
  <si>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</si>
  <si>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</si>
  <si>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</si>
  <si>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</si>
  <si>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</si>
  <si>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</si>
  <si>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</si>
  <si>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</si>
  <si>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</si>
  <si>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</si>
  <si>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</si>
  <si>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</si>
  <si>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</si>
  <si>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</si>
  <si>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</si>
  <si>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</si>
  <si>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</si>
  <si>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</si>
  <si>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</si>
  <si>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</si>
  <si>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</si>
  <si>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</si>
  <si>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</si>
  <si>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</si>
  <si>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</si>
  <si>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</si>
  <si>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</si>
  <si>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</si>
  <si>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</si>
  <si>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</si>
  <si>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</si>
  <si>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</si>
  <si>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</si>
  <si>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</si>
  <si>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</si>
  <si>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</si>
  <si>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</si>
  <si>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</si>
  <si>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</si>
  <si>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</si>
  <si>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</si>
  <si>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</si>
  <si>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</si>
  <si>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</si>
  <si>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</si>
  <si>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</si>
  <si>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</si>
  <si>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</si>
  <si>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</si>
  <si>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</si>
  <si>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</si>
  <si>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</si>
  <si>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</si>
  <si>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</si>
  <si>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</si>
  <si>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</si>
  <si>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</si>
  <si>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</si>
  <si>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</si>
  <si>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</si>
  <si>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</si>
  <si>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</si>
  <si>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</si>
  <si>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</si>
  <si>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</si>
  <si>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</si>
  <si>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</si>
  <si>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</si>
  <si>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</si>
  <si>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</si>
  <si>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</si>
  <si>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</si>
  <si>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</si>
  <si>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</si>
  <si>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</si>
  <si>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</si>
  <si>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</si>
  <si>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</si>
  <si>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</si>
  <si>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</si>
  <si>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</si>
  <si>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</si>
  <si>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</si>
  <si>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</si>
  <si>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</si>
  <si>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</si>
  <si>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</si>
  <si>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</si>
  <si>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</si>
  <si>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</si>
  <si>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</si>
  <si>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</si>
  <si>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</si>
  <si>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</si>
  <si>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</si>
  <si>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</si>
  <si>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</si>
  <si>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</si>
  <si>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</si>
  <si>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</si>
  <si>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</si>
  <si>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</si>
  <si>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</si>
  <si>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</si>
  <si>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</si>
  <si>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</si>
  <si>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</si>
  <si>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</si>
  <si>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</si>
  <si>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</si>
  <si>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</si>
  <si>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</si>
  <si>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</si>
  <si>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</si>
  <si>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</si>
  <si>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</si>
  <si>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</si>
  <si>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</si>
  <si>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</si>
  <si>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</si>
  <si>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</si>
  <si>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</si>
  <si>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</si>
  <si>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</si>
  <si>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</si>
  <si>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</si>
  <si>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</si>
  <si>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</si>
  <si>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</si>
  <si>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</si>
  <si>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</si>
  <si>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</si>
  <si>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</si>
  <si>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</si>
  <si>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</si>
  <si>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</si>
  <si>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</si>
  <si>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</si>
  <si>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</si>
  <si>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</si>
  <si>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</si>
  <si>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</si>
  <si>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</si>
  <si>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</si>
  <si>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</si>
  <si>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</si>
  <si>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</si>
  <si>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</si>
  <si>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</si>
  <si>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</si>
  <si>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</si>
  <si>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</si>
  <si>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</si>
  <si>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</si>
  <si>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</si>
  <si>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</si>
  <si>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</si>
  <si>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</si>
  <si>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</si>
  <si>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</si>
  <si>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</si>
  <si>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</si>
  <si>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</si>
  <si>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</si>
  <si>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</si>
  <si>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</si>
  <si>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</si>
  <si>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</si>
  <si>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</si>
  <si>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</si>
  <si>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</si>
  <si>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</si>
  <si>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</si>
  <si>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</si>
  <si>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</si>
  <si>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</si>
  <si>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</si>
  <si>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</si>
  <si>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</si>
  <si>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</si>
  <si>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</si>
  <si>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</si>
  <si>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</si>
  <si>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</si>
  <si>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</si>
  <si>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</si>
  <si>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</si>
  <si>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</si>
  <si>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</si>
  <si>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</si>
  <si>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</si>
  <si>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</si>
  <si>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</si>
  <si>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</si>
  <si>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</si>
  <si>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</si>
  <si>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</si>
  <si>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</si>
  <si>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</si>
  <si>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</si>
  <si>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</si>
  <si>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</si>
  <si>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</si>
  <si>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</si>
  <si>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</si>
  <si>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</si>
  <si>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</si>
  <si>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</si>
  <si>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</si>
  <si>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</si>
  <si>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</si>
  <si>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</si>
  <si>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</si>
  <si>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</si>
  <si>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</si>
  <si>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</si>
  <si>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</si>
  <si>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</si>
  <si>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</si>
  <si>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</si>
  <si>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</si>
  <si>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</si>
  <si>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</si>
  <si>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</si>
  <si>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</si>
  <si>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</si>
  <si>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</si>
  <si>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</si>
  <si>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</si>
  <si>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</si>
  <si>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</si>
  <si>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</si>
  <si>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</si>
  <si>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</si>
  <si>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</si>
  <si>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</si>
  <si>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</si>
  <si>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</si>
  <si>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</si>
  <si>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</si>
  <si>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</si>
  <si>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</si>
  <si>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</si>
  <si>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</si>
  <si>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</si>
  <si>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</si>
  <si>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</si>
  <si>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</si>
  <si>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</si>
  <si>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</si>
  <si>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</si>
  <si>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</si>
  <si>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</si>
  <si>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</si>
  <si>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</si>
  <si>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</si>
  <si>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</si>
  <si>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</si>
  <si>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</si>
  <si>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</si>
  <si>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</si>
  <si>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</si>
  <si>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</si>
  <si>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</si>
  <si>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</si>
  <si>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</si>
  <si>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</si>
  <si>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</si>
  <si>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</si>
  <si>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</si>
  <si>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</si>
  <si>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</si>
  <si>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</si>
  <si>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</si>
  <si>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</si>
  <si>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</si>
  <si>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</si>
  <si>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</si>
  <si>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</si>
  <si>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</si>
  <si>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</si>
  <si>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</si>
  <si>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</si>
  <si>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</si>
  <si>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</si>
  <si>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</si>
  <si>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</si>
  <si>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</si>
  <si>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</si>
  <si>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</si>
  <si>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</si>
  <si>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</si>
  <si>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</si>
  <si>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</si>
  <si>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</si>
  <si>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</si>
  <si>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</si>
  <si>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</si>
  <si>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</si>
  <si>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</si>
  <si>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</si>
  <si>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</si>
  <si>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</si>
  <si>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</si>
  <si>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</si>
  <si>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</si>
  <si>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</si>
  <si>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</si>
  <si>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</si>
  <si>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</si>
  <si>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</si>
  <si>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</si>
  <si>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</si>
  <si>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</si>
  <si>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</si>
  <si>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</si>
  <si>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</si>
  <si>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</si>
  <si>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</si>
  <si>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</si>
  <si>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</si>
  <si>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</si>
  <si>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</si>
  <si>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</si>
  <si>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</si>
  <si>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</si>
  <si>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</si>
  <si>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</si>
  <si>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</si>
  <si>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</si>
  <si>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</si>
  <si>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</si>
  <si>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</si>
  <si>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</si>
  <si>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</si>
  <si>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</si>
  <si>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</si>
  <si>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</si>
  <si>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</si>
  <si>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</si>
  <si>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</si>
  <si>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</si>
  <si>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</si>
  <si>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</si>
  <si>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</si>
  <si>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</si>
  <si>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</si>
  <si>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</si>
  <si>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</si>
  <si>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</si>
  <si>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</si>
  <si>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</si>
  <si>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</si>
  <si>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</si>
  <si>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</si>
  <si>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</si>
  <si>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</si>
  <si>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</si>
  <si>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</si>
  <si>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</si>
  <si>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</si>
  <si>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</si>
  <si>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</si>
  <si>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</si>
  <si>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</si>
  <si>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</si>
  <si>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</si>
  <si>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</si>
  <si>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</si>
  <si>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</si>
  <si>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</si>
  <si>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</si>
  <si>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</si>
  <si>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</si>
  <si>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</si>
  <si>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</si>
  <si>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</si>
  <si>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</si>
  <si>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</si>
  <si>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</si>
  <si>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</si>
  <si>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</si>
  <si>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</si>
  <si>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</si>
  <si>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</si>
  <si>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</si>
  <si>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</si>
  <si>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</si>
  <si>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</si>
  <si>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</si>
  <si>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</si>
  <si>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</si>
  <si>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</si>
  <si>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</si>
  <si>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</si>
  <si>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</si>
  <si>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</si>
  <si>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</si>
  <si>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</si>
  <si>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</si>
  <si>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</si>
  <si>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</si>
  <si>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</si>
  <si>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</si>
  <si>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</si>
  <si>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</si>
  <si>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</si>
  <si>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</si>
  <si>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</si>
  <si>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</si>
  <si>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</si>
  <si>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</si>
  <si>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</si>
  <si>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</si>
  <si>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</si>
  <si>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</si>
  <si>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</si>
  <si>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</si>
  <si>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</si>
  <si>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</si>
  <si>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</si>
  <si>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</si>
  <si>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</si>
  <si>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</si>
  <si>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</si>
  <si>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</si>
  <si>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</si>
  <si>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</si>
  <si>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</si>
  <si>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</si>
  <si>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</si>
  <si>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</si>
  <si>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</si>
  <si>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</si>
  <si>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</si>
  <si>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</si>
  <si>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</si>
  <si>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</si>
  <si>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</si>
  <si>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</si>
  <si>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</si>
  <si>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</si>
  <si>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</si>
  <si>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</si>
  <si>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</si>
  <si>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</si>
  <si>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</si>
  <si>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</si>
  <si>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</si>
  <si>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</si>
  <si>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</si>
  <si>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</si>
  <si>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</si>
  <si>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</si>
  <si>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</si>
  <si>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</si>
  <si>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</si>
  <si>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</si>
  <si>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</si>
  <si>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</si>
  <si>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</si>
  <si>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</si>
  <si>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</si>
  <si>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</si>
  <si>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</si>
  <si>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</si>
  <si>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</si>
  <si>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</si>
  <si>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</si>
  <si>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</si>
  <si>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</si>
  <si>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</si>
  <si>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</si>
  <si>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</si>
  <si>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</si>
  <si>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</si>
  <si>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</si>
  <si>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</si>
  <si>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</si>
  <si>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</si>
  <si>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</si>
  <si>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</si>
  <si>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</si>
  <si>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</si>
  <si>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</si>
  <si>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</si>
  <si>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</si>
  <si>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</si>
  <si>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</si>
  <si>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</si>
  <si>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</si>
  <si>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</si>
  <si>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</si>
  <si>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</si>
  <si>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</si>
  <si>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</si>
  <si>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</si>
  <si>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</si>
  <si>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</si>
  <si>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</si>
  <si>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</si>
  <si>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</si>
  <si>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</si>
  <si>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</si>
  <si>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</si>
  <si>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</si>
  <si>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</si>
  <si>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</si>
  <si>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</si>
  <si>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</si>
  <si>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</si>
  <si>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</si>
  <si>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</si>
  <si>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</si>
  <si>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</si>
  <si>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</si>
  <si>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</si>
  <si>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</si>
  <si>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</si>
  <si>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</si>
  <si>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</si>
  <si>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</si>
  <si>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</si>
  <si>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</si>
  <si>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</si>
  <si>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</si>
  <si>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</si>
  <si>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</si>
  <si>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</si>
  <si>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</si>
  <si>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</si>
  <si>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</si>
  <si>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</si>
  <si>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</si>
  <si>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</si>
  <si>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</si>
  <si>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</si>
  <si>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</si>
  <si>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</si>
  <si>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</si>
  <si>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</si>
  <si>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</si>
  <si>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</si>
  <si>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</si>
  <si>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</si>
  <si>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</si>
  <si>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</si>
  <si>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</si>
  <si>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</si>
  <si>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</si>
  <si>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</si>
  <si>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</si>
  <si>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</si>
  <si>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</si>
  <si>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</si>
  <si>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</si>
  <si>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</si>
  <si>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</si>
  <si>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</si>
  <si>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</si>
  <si>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</si>
  <si>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</si>
  <si>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</si>
  <si>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</si>
  <si>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</si>
  <si>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</si>
  <si>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</si>
  <si>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</si>
  <si>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</si>
  <si>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</si>
  <si>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</si>
  <si>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</si>
  <si>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</si>
  <si>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</si>
  <si>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</si>
  <si>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</si>
  <si>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</si>
  <si>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</si>
  <si>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</si>
  <si>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</si>
  <si>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</si>
  <si>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</si>
  <si>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</si>
  <si>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</si>
  <si>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</si>
  <si>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</si>
  <si>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</si>
  <si>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</si>
  <si>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</si>
  <si>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</si>
  <si>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</si>
  <si>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</si>
  <si>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</si>
  <si>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</si>
  <si>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</si>
  <si>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</si>
  <si>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</si>
  <si>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</si>
  <si>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</si>
  <si>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</si>
  <si>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</si>
  <si>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</si>
  <si>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</si>
  <si>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</si>
  <si>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</si>
  <si>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</si>
  <si>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</si>
  <si>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</si>
  <si>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</si>
  <si>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</si>
  <si>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</si>
  <si>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</si>
  <si>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</si>
  <si>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</si>
  <si>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</si>
  <si>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</si>
  <si>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</si>
  <si>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</si>
  <si>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</si>
  <si>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</si>
  <si>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</si>
  <si>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</si>
  <si>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</si>
  <si>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</si>
  <si>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</si>
  <si>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</si>
  <si>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</si>
  <si>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</si>
  <si>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</si>
  <si>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</si>
  <si>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</si>
  <si>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</si>
  <si>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</si>
  <si>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</si>
  <si>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</si>
  <si>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</si>
  <si>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</si>
  <si>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</si>
  <si>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</si>
  <si>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</si>
  <si>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</si>
  <si>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</si>
  <si>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</si>
  <si>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</si>
  <si>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</si>
  <si>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</si>
  <si>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</si>
  <si>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</si>
  <si>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</si>
  <si>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</si>
  <si>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</si>
  <si>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</si>
  <si>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</si>
  <si>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</si>
  <si>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</si>
  <si>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</si>
  <si>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</si>
  <si>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</si>
  <si>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</si>
  <si>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</si>
  <si>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</si>
  <si>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</si>
  <si>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</si>
  <si>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</si>
  <si>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</si>
  <si>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</si>
  <si>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</si>
  <si>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</si>
  <si>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</si>
  <si>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</si>
  <si>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</si>
  <si>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</si>
  <si>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</si>
  <si>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</si>
  <si>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</si>
  <si>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</si>
  <si>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</si>
  <si>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</si>
  <si>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</si>
  <si>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</si>
  <si>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</si>
  <si>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</si>
  <si>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</si>
  <si>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</si>
  <si>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</si>
  <si>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</si>
  <si>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</si>
  <si>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</si>
  <si>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</si>
  <si>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</si>
  <si>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</si>
  <si>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</si>
  <si>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</si>
  <si>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</si>
  <si>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</si>
  <si>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</si>
  <si>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</si>
  <si>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</si>
  <si>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</si>
  <si>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</si>
  <si>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</si>
  <si>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</si>
  <si>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</si>
  <si>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</si>
  <si>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</si>
  <si>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</si>
  <si>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</si>
  <si>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</si>
  <si>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</si>
  <si>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</si>
  <si>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</si>
  <si>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</si>
  <si>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</si>
  <si>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</si>
  <si>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</si>
  <si>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</si>
  <si>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</si>
  <si>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</si>
  <si>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</si>
  <si>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</si>
  <si>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</si>
  <si>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</si>
  <si>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</si>
  <si>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</si>
  <si>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</si>
  <si>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</si>
  <si>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</si>
  <si>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</si>
  <si>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</si>
  <si>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</si>
  <si>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</si>
  <si>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</si>
  <si>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</si>
  <si>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</si>
  <si>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</si>
  <si>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</si>
  <si>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</si>
  <si>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</si>
  <si>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</si>
  <si>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</si>
  <si>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</si>
  <si>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</si>
  <si>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</si>
  <si>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</si>
  <si>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</si>
  <si>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</si>
  <si>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</si>
  <si>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</si>
  <si>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</si>
  <si>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</si>
  <si>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</si>
  <si>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</si>
  <si>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</si>
  <si>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</si>
  <si>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</si>
  <si>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</si>
  <si>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</si>
  <si>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</si>
  <si>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</si>
  <si>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</si>
  <si>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</si>
  <si>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</si>
  <si>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</si>
  <si>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</si>
  <si>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</si>
  <si>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</si>
  <si>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</si>
  <si>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</si>
  <si>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</si>
  <si>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</si>
  <si>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</si>
  <si>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</si>
  <si>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</si>
  <si>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</si>
  <si>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</si>
  <si>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</si>
  <si>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</si>
  <si>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</si>
  <si>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</si>
  <si>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</si>
  <si>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</si>
  <si>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</si>
  <si>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</si>
  <si>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</si>
  <si>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</si>
  <si>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</si>
  <si>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</si>
  <si>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</si>
  <si>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</si>
  <si>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</si>
  <si>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</si>
  <si>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</si>
  <si>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</si>
  <si>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</si>
  <si>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</si>
  <si>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</si>
  <si>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</si>
  <si>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</si>
  <si>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</si>
  <si>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</si>
  <si>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</si>
  <si>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</si>
  <si>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</si>
  <si>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</si>
  <si>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</si>
  <si>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</si>
  <si>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</si>
  <si>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</si>
  <si>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</si>
  <si>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</si>
  <si>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</si>
  <si>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</si>
  <si>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</si>
  <si>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</si>
  <si>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</si>
  <si>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</si>
  <si>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</si>
  <si>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</si>
  <si>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</si>
  <si>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</si>
  <si>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</si>
  <si>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</si>
  <si>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</si>
  <si>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</si>
  <si>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</si>
  <si>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</si>
  <si>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</si>
  <si>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</si>
  <si>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</si>
  <si>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</si>
  <si>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</si>
  <si>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</si>
  <si>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</si>
  <si>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</si>
  <si>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</si>
  <si>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</si>
  <si>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</si>
  <si>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</si>
  <si>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</si>
  <si>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</si>
  <si>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</si>
  <si>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</si>
  <si>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</si>
  <si>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</si>
  <si>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</si>
  <si>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</si>
  <si>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</si>
  <si>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</si>
  <si>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</si>
  <si>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</si>
  <si>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</si>
  <si>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</si>
  <si>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</si>
  <si>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</si>
  <si>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</si>
  <si>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</si>
  <si>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</si>
  <si>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</si>
  <si>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</si>
  <si>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</si>
  <si>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</si>
  <si>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</si>
  <si>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</si>
  <si>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</si>
  <si>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</si>
  <si>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</si>
  <si>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</si>
  <si>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</si>
  <si>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</si>
  <si>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</si>
  <si>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</si>
  <si>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</si>
  <si>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</si>
  <si>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</si>
  <si>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</si>
  <si>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</si>
  <si>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</si>
  <si>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</si>
  <si>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</si>
  <si>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</si>
  <si>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</si>
  <si>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</si>
  <si>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</si>
  <si>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</si>
  <si>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</si>
  <si>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</si>
  <si>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</si>
  <si>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</si>
  <si>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</si>
  <si>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</si>
  <si>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</si>
  <si>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</si>
  <si>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</si>
  <si>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</si>
  <si>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</si>
  <si>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</si>
  <si>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</si>
  <si>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</si>
  <si>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</si>
  <si>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</si>
  <si>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</si>
  <si>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</si>
  <si>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</si>
  <si>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</si>
  <si>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</si>
  <si>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</si>
  <si>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</si>
  <si>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</si>
  <si>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</si>
  <si>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</si>
  <si>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</si>
  <si>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</si>
  <si>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</si>
  <si>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</si>
  <si>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</si>
  <si>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</si>
  <si>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</si>
  <si>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</si>
  <si>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</si>
  <si>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</si>
  <si>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</si>
  <si>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</si>
  <si>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</si>
  <si>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</si>
  <si>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</si>
  <si>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</si>
  <si>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</si>
  <si>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</si>
  <si>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</si>
  <si>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</si>
  <si>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</si>
  <si>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</si>
  <si>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</si>
  <si>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</si>
  <si>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</si>
  <si>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</si>
  <si>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</si>
  <si>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</si>
  <si>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</si>
  <si>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</si>
  <si>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</si>
  <si>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</si>
  <si>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</si>
  <si>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</si>
  <si>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</si>
  <si>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</si>
  <si>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</si>
  <si>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</si>
  <si>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</si>
  <si>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</si>
  <si>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</si>
  <si>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</si>
  <si>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</si>
  <si>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</si>
  <si>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</si>
  <si>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</si>
  <si>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</si>
  <si>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</si>
  <si>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</si>
  <si>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</si>
  <si>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</si>
  <si>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</si>
  <si>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</si>
  <si>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</si>
  <si>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</si>
  <si>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</si>
  <si>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</si>
  <si>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</si>
  <si>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</si>
  <si>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</si>
  <si>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</si>
  <si>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</si>
  <si>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</si>
  <si>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</si>
  <si>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</si>
  <si>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</si>
  <si>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</si>
  <si>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</si>
  <si>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</si>
  <si>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</si>
  <si>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</si>
  <si>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</si>
  <si>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</si>
  <si>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</si>
  <si>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</si>
  <si>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</si>
  <si>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</si>
  <si>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</si>
  <si>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</si>
  <si>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</si>
  <si>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</si>
  <si>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</si>
  <si>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</si>
  <si>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</si>
  <si>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</si>
  <si>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</si>
  <si>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</si>
  <si>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</si>
  <si>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</si>
  <si>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</si>
  <si>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</si>
  <si>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</si>
  <si>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</si>
  <si>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</si>
  <si>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</si>
  <si>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</si>
  <si>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</si>
  <si>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</si>
  <si>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</si>
  <si>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</si>
  <si>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</si>
  <si>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</si>
  <si>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</si>
  <si>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</si>
  <si>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</si>
  <si>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</si>
  <si>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</si>
  <si>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</si>
  <si>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</si>
  <si>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</si>
  <si>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</si>
  <si>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</si>
  <si>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</si>
  <si>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</si>
  <si>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</si>
  <si>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</si>
  <si>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</si>
  <si>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</si>
  <si>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</si>
  <si>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</si>
  <si>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</si>
  <si>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</si>
  <si>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</si>
  <si>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</si>
  <si>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</si>
  <si>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</si>
  <si>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</si>
  <si>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</si>
  <si>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</si>
  <si>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</si>
  <si>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</si>
  <si>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</si>
  <si>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</si>
  <si>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</si>
  <si>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</si>
  <si>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</si>
  <si>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</si>
  <si>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</si>
  <si>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</si>
  <si>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</si>
  <si>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</si>
  <si>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</si>
  <si>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</si>
  <si>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</si>
  <si>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</si>
  <si>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</si>
  <si>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</si>
  <si>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</si>
  <si>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</si>
  <si>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</si>
  <si>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</si>
  <si>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</si>
  <si>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</si>
  <si>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</si>
  <si>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</si>
  <si>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</si>
  <si>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</si>
  <si>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</si>
  <si>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</si>
  <si>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</si>
  <si>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</si>
  <si>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</si>
  <si>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</si>
  <si>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</si>
  <si>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</si>
  <si>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</si>
  <si>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</si>
  <si>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</si>
  <si>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</si>
  <si>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</si>
  <si>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</si>
  <si>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</si>
  <si>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</si>
  <si>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</si>
  <si>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</si>
  <si>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</si>
  <si>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</si>
  <si>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</si>
  <si>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</si>
  <si>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</si>
  <si>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</si>
  <si>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</si>
  <si>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</si>
  <si>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</si>
  <si>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</si>
  <si>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</si>
  <si>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</si>
  <si>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</si>
  <si>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</si>
  <si>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</si>
  <si>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</si>
  <si>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</si>
  <si>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</si>
  <si>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</si>
  <si>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</si>
  <si>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</si>
  <si>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</si>
  <si>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</si>
  <si>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</si>
  <si>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</si>
  <si>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</si>
  <si>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</si>
  <si>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</si>
  <si>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</si>
  <si>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</si>
  <si>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</si>
  <si>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</si>
  <si>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</si>
  <si>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</si>
  <si>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</si>
  <si>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</si>
  <si>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</si>
  <si>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</si>
  <si>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</si>
  <si>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</si>
  <si>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</si>
  <si>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</si>
  <si>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</si>
  <si>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</si>
  <si>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</si>
  <si>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</si>
  <si>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</si>
  <si>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</si>
  <si>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</si>
  <si>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</si>
  <si>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</si>
  <si>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</si>
  <si>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</si>
  <si>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</si>
  <si>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</si>
  <si>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</si>
  <si>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</si>
  <si>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</si>
  <si>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</si>
  <si>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</si>
  <si>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</si>
  <si>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</si>
  <si>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</si>
  <si>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</si>
  <si>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</si>
  <si>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</si>
  <si>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</si>
  <si>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</si>
  <si>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</si>
  <si>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</si>
  <si>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</si>
  <si>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</si>
  <si>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</si>
  <si>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</si>
  <si>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</si>
  <si>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</si>
  <si>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</si>
  <si>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</si>
  <si>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</si>
  <si>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</si>
  <si>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</si>
  <si>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</si>
  <si>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</si>
  <si>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</si>
  <si>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</si>
  <si>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</si>
  <si>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</si>
  <si>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</si>
  <si>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</si>
  <si>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</si>
  <si>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</si>
  <si>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</si>
  <si>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</si>
  <si>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</si>
  <si>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</si>
  <si>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</si>
  <si>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</si>
  <si>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</si>
  <si>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</si>
  <si>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</si>
  <si>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</si>
  <si>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</si>
  <si>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</si>
  <si>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</si>
  <si>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</si>
  <si>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</si>
  <si>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</si>
  <si>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</si>
  <si>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</si>
  <si>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</si>
  <si>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</si>
  <si>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</si>
  <si>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</si>
  <si>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</si>
  <si>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</si>
  <si>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</si>
  <si>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</si>
  <si>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</si>
  <si>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</si>
  <si>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</si>
  <si>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</si>
  <si>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</si>
  <si>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</si>
  <si>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</si>
  <si>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</si>
  <si>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</si>
  <si>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</si>
  <si>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</si>
  <si>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</si>
  <si>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</si>
  <si>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</si>
  <si>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</si>
  <si>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</si>
  <si>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</si>
  <si>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</si>
  <si>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</si>
  <si>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</si>
  <si>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</si>
  <si>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</si>
  <si>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</si>
  <si>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</si>
  <si>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</si>
  <si>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</si>
  <si>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</si>
  <si>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</si>
  <si>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</si>
  <si>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</si>
  <si>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</si>
  <si>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</si>
  <si>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</si>
  <si>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</si>
  <si>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</si>
  <si>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</si>
  <si>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</si>
  <si>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</si>
  <si>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</si>
  <si>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</si>
  <si>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</si>
  <si>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</si>
  <si>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</si>
  <si>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</si>
  <si>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</si>
  <si>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</si>
  <si>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</si>
  <si>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</si>
  <si>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</si>
  <si>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</si>
  <si>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</si>
  <si>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</si>
  <si>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</si>
  <si>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</si>
  <si>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</si>
  <si>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</si>
  <si>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</si>
  <si>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</si>
  <si>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</si>
  <si>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</si>
  <si>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</si>
  <si>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</si>
  <si>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</si>
  <si>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</si>
  <si>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</si>
  <si>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</si>
  <si>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</si>
  <si>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</si>
  <si>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</si>
  <si>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</si>
  <si>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</si>
  <si>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</si>
  <si>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</si>
  <si>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</si>
  <si>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</si>
  <si>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</si>
  <si>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</si>
  <si>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</si>
  <si>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</si>
  <si>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</si>
  <si>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</si>
  <si>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</si>
  <si>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</si>
  <si>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</si>
  <si>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</si>
  <si>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</si>
  <si>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</si>
  <si>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</si>
  <si>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</si>
  <si>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</si>
  <si>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</si>
  <si>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</si>
  <si>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</si>
  <si>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</si>
  <si>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</si>
  <si>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</si>
  <si>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</si>
  <si>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</si>
  <si>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</si>
  <si>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</si>
  <si>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</si>
  <si>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</si>
  <si>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</si>
  <si>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</si>
  <si>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</si>
  <si>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</si>
  <si>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</si>
  <si>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</si>
  <si>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</si>
  <si>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</si>
  <si>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</si>
  <si>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</si>
  <si>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</si>
  <si>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</si>
  <si>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</si>
  <si>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</si>
  <si>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</si>
  <si>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</si>
  <si>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</si>
  <si>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</si>
  <si>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</si>
  <si>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</si>
  <si>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</si>
  <si>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</si>
  <si>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</si>
  <si>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</si>
  <si>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</si>
  <si>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</si>
  <si>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</si>
  <si>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</si>
  <si>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</si>
  <si>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</si>
  <si>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</si>
  <si>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</si>
  <si>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</si>
  <si>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</si>
  <si>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</si>
  <si>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</si>
  <si>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</si>
  <si>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</si>
  <si>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</si>
  <si>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</si>
  <si>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</si>
  <si>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</si>
  <si>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</si>
  <si>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</si>
  <si>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</si>
  <si>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</si>
  <si>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</si>
  <si>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</si>
  <si>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</si>
  <si>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</si>
  <si>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</si>
  <si>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</si>
  <si>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</si>
  <si>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</si>
  <si>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</si>
  <si>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</si>
  <si>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</si>
  <si>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</si>
  <si>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</si>
  <si>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</si>
  <si>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</si>
  <si>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</si>
  <si>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</si>
  <si>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</si>
  <si>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</si>
  <si>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</si>
  <si>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</si>
  <si>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</si>
  <si>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</si>
  <si>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</si>
  <si>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</si>
  <si>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</si>
  <si>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</si>
  <si>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</si>
  <si>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</si>
  <si>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</si>
  <si>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</si>
  <si>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</si>
  <si>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</si>
  <si>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</si>
  <si>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</si>
  <si>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</si>
  <si>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</si>
  <si>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</si>
  <si>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</si>
  <si>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</si>
  <si>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</si>
  <si>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</si>
  <si>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</si>
  <si>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</si>
  <si>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</si>
  <si>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</si>
  <si>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</si>
  <si>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房地产抵押价值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</si>
  <si>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</si>
  <si>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</si>
  <si>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</si>
  <si>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</si>
  <si>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</si>
  <si>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</si>
  <si>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</si>
  <si>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</si>
  <si>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</si>
  <si>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</si>
  <si>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</si>
  <si>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</si>
  <si>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</si>
  <si>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</si>
  <si>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</si>
  <si>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</si>
  <si>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</si>
  <si>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</si>
  <si>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</si>
  <si>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</si>
  <si>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</si>
  <si>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</si>
  <si>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</si>
  <si>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</si>
  <si>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</si>
  <si>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</si>
  <si>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</si>
  <si>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</si>
  <si>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</si>
  <si>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</si>
  <si>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</si>
  <si>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</si>
  <si>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</si>
  <si>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</si>
  <si>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</si>
  <si>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</si>
  <si>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</si>
  <si>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</si>
  <si>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</si>
  <si>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</si>
  <si>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</si>
  <si>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</si>
  <si>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</si>
  <si>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</si>
  <si>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</si>
  <si>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</si>
  <si>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</si>
  <si>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</si>
  <si>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</si>
  <si>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</si>
  <si>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</si>
  <si>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</si>
  <si>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</si>
  <si>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与级别开发程度一致</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</si>
  <si>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</si>
  <si>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</si>
  <si>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</si>
  <si>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</si>
  <si>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</si>
  <si>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</si>
  <si>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</si>
  <si>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</si>
  <si>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</si>
  <si>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</si>
  <si>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</si>
  <si>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</si>
  <si>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</si>
  <si>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</si>
  <si>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</si>
  <si>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</si>
  <si>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</si>
  <si>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</si>
  <si>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</si>
  <si>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</si>
  <si>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</si>
  <si>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</si>
  <si>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</si>
  <si>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</si>
  <si>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</si>
  <si>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</si>
  <si>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</si>
  <si>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</si>
  <si>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</si>
  <si>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</si>
  <si>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</si>
  <si>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</si>
  <si>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</si>
  <si>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</si>
  <si>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</si>
  <si>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</si>
  <si>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</si>
  <si>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</si>
  <si>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</si>
  <si>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</si>
  <si>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</si>
  <si>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</si>
  <si>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</si>
  <si>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</si>
  <si>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</si>
  <si>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</si>
  <si>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</si>
  <si>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</si>
  <si>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</si>
  <si>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</si>
  <si>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</si>
  <si>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</si>
  <si>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</si>
  <si>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</si>
  <si>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</si>
  <si>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</si>
  <si>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</si>
  <si>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</si>
  <si>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</si>
  <si>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</si>
  <si>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</si>
  <si>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</si>
  <si>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</si>
  <si>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</si>
  <si>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</si>
  <si>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</si>
  <si>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</si>
  <si>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</si>
  <si>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</si>
  <si>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</si>
  <si>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</si>
  <si>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</si>
  <si>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</si>
  <si>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</si>
  <si>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</si>
  <si>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</si>
  <si>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</si>
  <si>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</si>
  <si>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</si>
  <si>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</si>
  <si>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</si>
  <si>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</si>
  <si>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t>基准户型1层</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</si>
  <si>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</si>
  <si>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</si>
  <si>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301</t>
    </r>
    <phoneticPr fontId="6" type="noConversion"/>
  </si>
  <si>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</si>
  <si>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</si>
  <si>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t>否</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</si>
  <si>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</si>
  <si>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t>3层商业</t>
  </si>
  <si>
    <t>3层商业</t>
    <phoneticPr fontId="7" type="noConversion"/>
  </si>
  <si>
    <t>部分精装</t>
    <phoneticPr fontId="3" type="noConversion"/>
  </si>
  <si>
    <t>部分正在装修</t>
    <phoneticPr fontId="3" type="noConversion"/>
  </si>
  <si>
    <r>
      <t>3</t>
    </r>
    <r>
      <rPr>
        <sz val="10"/>
        <color indexed="8"/>
        <rFont val="宋体"/>
        <family val="3"/>
        <charset val="134"/>
      </rPr>
      <t>层</t>
    </r>
    <phoneticPr fontId="24" type="noConversion"/>
  </si>
  <si>
    <t>项目局部</t>
  </si>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</sst>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5" fillId="6" borderId="1" xfId="0" applyFont="1" applyFill="1" applyBorder="1" applyAlignment="1" applyProtection="1">
      <alignment horizontal="center" vertical="center" wrapText="1"/>
      <protection locked="0"/>
    </xf>
    <xf numFmtId="0" fontId="46" fillId="6" borderId="3"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53" fillId="6" borderId="3" xfId="0"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13" xfId="0" applyFont="1" applyFill="1" applyBorder="1" applyAlignment="1" applyProtection="1">
      <alignment horizontal="left" vertical="center" wrapText="1"/>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北京市陈庄子路3号院4号楼3层301房地产市场价值预评估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受贵公司委托，我公司对北京市陈庄子路3号院4号楼3层301房地产市场价值进行了预评估。</v>
      </c>
    </row>
    <row r="7" spans="1:2" s="1203" customFormat="1">
      <c r="A7" s="1201" t="s">
        <v>566</v>
      </c>
      <c r="B7" s="1202" t="str">
        <f>'预评函-1'!A7</f>
        <v>估价对象为北京市陈庄子路3号院4号楼3层301房地产，为北京百肯商贸有限公司所有。根据《国有土地使用证》[]，估价对象（分摊）出让国有建设用地使用权面积为0平方米，建筑面积为1123.97平方米。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2847</v>
      </c>
    </row>
    <row r="21" spans="1:2" s="1203" customFormat="1">
      <c r="A21" s="1201" t="s">
        <v>537</v>
      </c>
      <c r="B21" s="1202">
        <f ca="1">'预评函-2'!D7</f>
        <v>25331</v>
      </c>
    </row>
    <row r="22" spans="1:2" s="1203" customFormat="1">
      <c r="A22" s="1201" t="s">
        <v>538</v>
      </c>
      <c r="B22" s="1202" t="str">
        <f ca="1">'预评函-2'!D6</f>
        <v>贰仟捌佰肆拾柒万元整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2847</v>
      </c>
    </row>
    <row r="31" spans="1:2" s="1203" customFormat="1">
      <c r="A31" s="1201" t="s">
        <v>576</v>
      </c>
      <c r="B31" s="1202">
        <f ca="1">'预评函-2'!D15</f>
        <v>25331</v>
      </c>
    </row>
    <row r="32" spans="1:2" s="1203" customFormat="1">
      <c r="A32" s="1201" t="s">
        <v>543</v>
      </c>
      <c r="B32" s="1202" t="str">
        <f ca="1">'预评函-2'!D14</f>
        <v>贰仟捌佰肆拾柒万元整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2846</v>
      </c>
    </row>
    <row r="39" spans="1:2" s="1203" customFormat="1">
      <c r="A39" s="1201" t="s">
        <v>545</v>
      </c>
      <c r="B39" s="1202">
        <f ca="1">'预评函-2'!D21</f>
        <v>25321</v>
      </c>
    </row>
    <row r="40" spans="1:2" s="1203" customFormat="1">
      <c r="A40" s="1201" t="s">
        <v>546</v>
      </c>
      <c r="B40" s="1202" t="str">
        <f ca="1">'预评函-2'!D20</f>
        <v>贰仟捌佰肆拾陆万元整</v>
      </c>
    </row>
    <row r="41" spans="1:2" s="1203" customFormat="1">
      <c r="A41" s="1201" t="s">
        <v>592</v>
      </c>
      <c r="B41" s="1202" t="str">
        <f>'预评函-3'!A4</f>
        <v>北京市陈庄子路3号院4号楼3层301房地产</v>
      </c>
    </row>
    <row r="42" spans="1:2" s="1203" customFormat="1">
      <c r="A42" s="1201" t="s">
        <v>590</v>
      </c>
      <c r="B42" s="1202" t="str">
        <f>'预评函-3'!B2</f>
        <v>建筑面积</v>
      </c>
    </row>
    <row r="43" spans="1:2" s="1203" customFormat="1">
      <c r="A43" s="1201" t="s">
        <v>591</v>
      </c>
      <c r="B43" s="1202">
        <f>'预评函-3'!B4</f>
        <v>1123.97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2218</v>
      </c>
    </row>
    <row r="48" spans="1:2" s="1203" customFormat="1">
      <c r="A48" s="1201" t="s">
        <v>549</v>
      </c>
      <c r="B48" s="1202">
        <f ca="1">'预评函-3'!E4</f>
        <v>19733</v>
      </c>
    </row>
    <row r="49" spans="1:2" s="1203" customFormat="1">
      <c r="A49" s="1201" t="s">
        <v>550</v>
      </c>
      <c r="B49" s="1202" t="str">
        <f ca="1">'预评函-3'!D5</f>
        <v>贰仟贰佰壹拾捌万元整</v>
      </c>
    </row>
    <row r="50" spans="1:2" s="1203" customFormat="1">
      <c r="A50" s="1201" t="s">
        <v>574</v>
      </c>
      <c r="B50" s="1202" t="str">
        <f>'预评函-3'!F2</f>
        <v>在建建筑物价值</v>
      </c>
    </row>
    <row r="51" spans="1:2" s="1203" customFormat="1">
      <c r="A51" s="1201" t="s">
        <v>551</v>
      </c>
      <c r="B51" s="1202">
        <f ca="1">'预评函-3'!F4</f>
        <v>629</v>
      </c>
    </row>
    <row r="52" spans="1:2" s="1203" customFormat="1">
      <c r="A52" s="1201" t="s">
        <v>552</v>
      </c>
      <c r="B52" s="1202">
        <f ca="1">'预评函-3'!G4</f>
        <v>5598</v>
      </c>
    </row>
    <row r="53" spans="1:2" s="1203" customFormat="1">
      <c r="A53" s="1201" t="s">
        <v>580</v>
      </c>
      <c r="B53" s="1202" t="str">
        <f ca="1">'预评函-3'!F5</f>
        <v>陆佰贰拾玖万元整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3层301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4" t="s">
        <v>385</v>
      </c>
      <c r="C54" s="1551" t="s">
        <v>583</v>
      </c>
    </row>
    <row r="55" spans="1:4">
      <c r="A55" s="3492"/>
      <c r="B55" s="1554" t="s">
        <v>386</v>
      </c>
      <c r="C55" s="1551" t="s">
        <v>584</v>
      </c>
    </row>
    <row r="56" spans="1:4">
      <c r="A56" s="3492"/>
      <c r="B56" s="1554" t="s">
        <v>387</v>
      </c>
      <c r="C56" s="1551" t="s">
        <v>588</v>
      </c>
    </row>
    <row r="57" spans="1:4">
      <c r="A57" s="349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493" t="s">
        <v>2558</v>
      </c>
      <c r="J2" s="3493"/>
      <c r="K2" s="3493"/>
      <c r="L2" s="3493"/>
      <c r="M2" s="3493"/>
      <c r="N2" s="3493"/>
      <c r="O2" s="3493"/>
      <c r="P2" s="3493"/>
      <c r="Q2" s="3493"/>
      <c r="R2" s="3493"/>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1" sqref="F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502" t="str">
        <f>IF(B10="北京市","北京市",C10)&amp;F10&amp;IF(结果表!G1="在建","出让国有建设用地使用权及在建建筑物",IF(结果表!G1="土地","出让国有建设用地使用权",))&amp;B9&amp;"预评估"</f>
        <v>北京市陈庄子路3号院4号楼3层301房地产市场价值预评估</v>
      </c>
      <c r="C1" s="3503"/>
      <c r="D1" s="3503"/>
      <c r="E1" s="3503"/>
      <c r="F1" s="3503"/>
      <c r="G1" s="3503"/>
      <c r="H1" s="3503"/>
      <c r="I1" s="3504"/>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北京市陈庄子路3号院4号楼3层301房地产市场价值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北京市陈庄子路3号院4号楼3层301房地产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505" t="s">
        <v>2159</v>
      </c>
      <c r="E8" s="2388" t="s">
        <v>3354</v>
      </c>
      <c r="F8" s="2389"/>
      <c r="G8" s="2638"/>
      <c r="H8" s="2638"/>
      <c r="I8" s="2638"/>
      <c r="J8" s="2435"/>
      <c r="K8" s="2589"/>
      <c r="L8" s="2588"/>
      <c r="M8" s="2588"/>
      <c r="N8" s="2435"/>
      <c r="O8" s="2446"/>
      <c r="P8" s="2435"/>
      <c r="Q8" s="2435"/>
      <c r="R8" s="2435"/>
    </row>
    <row r="9" spans="1:30" ht="13.5" thickBot="1">
      <c r="A9" s="2390" t="s">
        <v>2160</v>
      </c>
      <c r="B9" s="2391" t="s">
        <v>3353</v>
      </c>
      <c r="C9" s="2392"/>
      <c r="D9" s="3506"/>
      <c r="E9" s="2391" t="s">
        <v>587</v>
      </c>
      <c r="F9" s="2393"/>
      <c r="G9" s="2640"/>
      <c r="H9" s="2640"/>
      <c r="I9" s="2640"/>
      <c r="J9" s="2435"/>
      <c r="K9" s="2591"/>
      <c r="L9" s="2588"/>
      <c r="M9" s="2588"/>
      <c r="N9" s="2435"/>
      <c r="O9" s="2446"/>
      <c r="P9" s="2435"/>
      <c r="Q9" s="2435"/>
      <c r="R9" s="2435"/>
    </row>
    <row r="10" spans="1:30" ht="13.5" thickTop="1">
      <c r="A10" s="2394" t="s">
        <v>2161</v>
      </c>
      <c r="B10" s="2395" t="s">
        <v>3355</v>
      </c>
      <c r="C10" s="3426" t="s">
        <v>3356</v>
      </c>
      <c r="D10" s="2380"/>
      <c r="E10" s="2396" t="s">
        <v>2162</v>
      </c>
      <c r="F10" s="2641" t="s">
        <v>3494</v>
      </c>
      <c r="G10" s="2642"/>
      <c r="H10" s="2643"/>
      <c r="I10" s="2644"/>
      <c r="J10" s="2435"/>
      <c r="K10" s="2591"/>
      <c r="L10" s="2588"/>
      <c r="M10" s="2588"/>
      <c r="N10" s="2435"/>
      <c r="O10" s="2446"/>
      <c r="P10" s="2435"/>
      <c r="Q10" s="2435"/>
      <c r="R10" s="2435"/>
    </row>
    <row r="11" spans="1:30" ht="25.5">
      <c r="A11" s="2397" t="s">
        <v>2163</v>
      </c>
      <c r="B11" s="2398" t="s">
        <v>3357</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12"/>
      <c r="C16" s="3513"/>
      <c r="D16" s="3514"/>
      <c r="E16" s="2409" t="s">
        <v>2176</v>
      </c>
      <c r="F16" s="3515"/>
      <c r="G16" s="3516"/>
      <c r="H16" s="3516"/>
      <c r="I16" s="3517"/>
      <c r="J16" s="2435"/>
      <c r="K16" s="2592"/>
      <c r="L16" s="2447"/>
      <c r="M16" s="2447"/>
      <c r="N16" s="2503"/>
      <c r="O16" s="2447"/>
      <c r="P16" s="2503"/>
      <c r="Q16" s="2435"/>
      <c r="R16" s="2435"/>
    </row>
    <row r="17" spans="1:28">
      <c r="A17" s="313" t="s">
        <v>2177</v>
      </c>
      <c r="B17" s="302" t="s">
        <v>2178</v>
      </c>
      <c r="C17" s="8">
        <f>'数据-汇总表'!E3</f>
        <v>1123.97</v>
      </c>
      <c r="D17" s="2321" t="s">
        <v>2179</v>
      </c>
      <c r="E17" s="3518" t="s">
        <v>2180</v>
      </c>
      <c r="F17" s="3519"/>
      <c r="G17" s="3519"/>
      <c r="H17" s="3519"/>
      <c r="I17" s="3520"/>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21" t="s">
        <v>2184</v>
      </c>
      <c r="F18" s="3522"/>
      <c r="G18" s="3522"/>
      <c r="H18" s="3522"/>
      <c r="I18" s="3523"/>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08" t="s">
        <v>2188</v>
      </c>
      <c r="C20" s="3509"/>
      <c r="D20" s="3510" t="s">
        <v>2189</v>
      </c>
      <c r="E20" s="3511"/>
      <c r="F20" s="2622" t="s">
        <v>1056</v>
      </c>
      <c r="G20" s="2639"/>
      <c r="H20" s="2639"/>
      <c r="I20" s="2639"/>
      <c r="J20" s="2435"/>
      <c r="K20" s="3507"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3358</v>
      </c>
      <c r="C21" s="2609" t="s">
        <v>1057</v>
      </c>
      <c r="D21" s="1568"/>
      <c r="E21" s="2610"/>
      <c r="F21" s="2623"/>
      <c r="G21" s="2639"/>
      <c r="H21" s="2639"/>
      <c r="I21" s="2639"/>
      <c r="J21" s="2435"/>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495" t="s">
        <v>2193</v>
      </c>
      <c r="B27" s="320" t="s">
        <v>2194</v>
      </c>
      <c r="C27" s="2412" t="s">
        <v>3359</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495"/>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495"/>
      <c r="B29" s="302" t="s">
        <v>2196</v>
      </c>
      <c r="C29" s="2416" t="s">
        <v>3360</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496"/>
      <c r="B30" s="302" t="s">
        <v>2197</v>
      </c>
      <c r="C30" s="3497"/>
      <c r="D30" s="3498"/>
      <c r="E30" s="2639"/>
      <c r="F30" s="2639"/>
      <c r="G30" s="2639"/>
      <c r="H30" s="2639"/>
      <c r="I30" s="2639"/>
      <c r="J30" s="2435"/>
      <c r="K30" s="2591"/>
      <c r="L30" s="2588"/>
      <c r="M30" s="2588"/>
      <c r="N30" s="2435"/>
      <c r="O30" s="2446"/>
      <c r="P30" s="2435"/>
      <c r="Q30" s="2435"/>
      <c r="R30" s="2435"/>
      <c r="S30" s="2435"/>
      <c r="T30" s="2435"/>
      <c r="U30" s="2435"/>
      <c r="V30" s="2435"/>
    </row>
    <row r="31" spans="1:28">
      <c r="A31" s="3499" t="s">
        <v>2198</v>
      </c>
      <c r="B31" s="2418" t="s">
        <v>3361</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00"/>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00"/>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3362</v>
      </c>
      <c r="C34" s="2026" t="s">
        <v>3363</v>
      </c>
      <c r="D34" s="2026" t="s">
        <v>3364</v>
      </c>
      <c r="E34" s="2026" t="s">
        <v>3365</v>
      </c>
      <c r="F34" s="2026" t="s">
        <v>3366</v>
      </c>
      <c r="G34" s="2026" t="s">
        <v>3407</v>
      </c>
      <c r="H34" s="2026" t="s">
        <v>3392</v>
      </c>
      <c r="I34" s="2639"/>
      <c r="J34" s="2435"/>
      <c r="K34" s="2423">
        <f>COUNTIF(B34:H34,"——")</f>
        <v>0</v>
      </c>
      <c r="L34" s="323" t="s">
        <v>2200</v>
      </c>
      <c r="M34" s="323" t="s">
        <v>2201</v>
      </c>
      <c r="N34" s="323" t="s">
        <v>2202</v>
      </c>
      <c r="O34" s="323" t="s">
        <v>2203</v>
      </c>
      <c r="P34" s="323" t="s">
        <v>2204</v>
      </c>
      <c r="Q34" s="323" t="s">
        <v>2205</v>
      </c>
      <c r="R34" s="323" t="s">
        <v>2206</v>
      </c>
      <c r="S34" s="3494" t="s">
        <v>2207</v>
      </c>
      <c r="T34" s="2424" t="str">
        <f>NUMBERSTRING(7-K34,1)&amp;"通"</f>
        <v>七通</v>
      </c>
      <c r="U34" s="2435"/>
      <c r="V34" s="2435"/>
    </row>
    <row r="35" spans="1:30">
      <c r="A35" s="2425"/>
      <c r="B35" s="3501" t="s">
        <v>2208</v>
      </c>
      <c r="C35" s="3501"/>
      <c r="D35" s="3501"/>
      <c r="E35" s="3501"/>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494"/>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3368</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O28" sqref="O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1123.97</v>
      </c>
      <c r="BA5" s="15">
        <f t="shared" si="1"/>
        <v>1123.97</v>
      </c>
      <c r="BB5" s="15">
        <f t="shared" si="1"/>
        <v>1123.97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3369</v>
      </c>
      <c r="J9" s="809"/>
      <c r="K9" s="1603" t="s">
        <v>3370</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3371</v>
      </c>
      <c r="J11" s="1615"/>
      <c r="K11" s="1614" t="s">
        <v>3371</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3372</v>
      </c>
      <c r="D13" s="3448" t="s">
        <v>3360</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7" t="s">
        <v>3495</v>
      </c>
      <c r="D14" s="3448" t="s">
        <v>3360</v>
      </c>
      <c r="E14" s="13">
        <f>IF($C$3="是",ROUND($A$3*G14/$B$3,2),ROUND($A$3*(G14-AT14)/$B$3,2))</f>
        <v>0</v>
      </c>
      <c r="F14" s="29"/>
      <c r="G14" s="30">
        <f>H14+AC14+AT14</f>
        <v>1123.69</v>
      </c>
      <c r="H14" s="17">
        <f>SUMIF(I$12:AB$12,"总值",I14:AB14)</f>
        <v>1123.69</v>
      </c>
      <c r="I14" s="3449">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6" t="s">
        <v>3496</v>
      </c>
      <c r="D15" s="3428" t="s">
        <v>3373</v>
      </c>
      <c r="E15" s="13">
        <f>IF($C$3="是",ROUND($A$3*G15/$B$3,2),ROUND($A$3*(G15-AT15)/$B$3,2))</f>
        <v>0</v>
      </c>
      <c r="F15" s="29"/>
      <c r="G15" s="30">
        <f>H15+AC15+AT15</f>
        <v>1123.97</v>
      </c>
      <c r="H15" s="17">
        <f>SUMIF(I$12:AB$12,"总值",I15:AB15)</f>
        <v>1123.97</v>
      </c>
      <c r="I15" s="3427">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1123.97</v>
      </c>
      <c r="BA15" s="13">
        <f>SUM(BB15:BK15)</f>
        <v>1123.97</v>
      </c>
      <c r="BB15" s="13">
        <f>IF($D15="是",I15-J15,0)</f>
        <v>1123.97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3498</v>
      </c>
      <c r="D16" s="1625" t="s">
        <v>3497</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3374</v>
      </c>
      <c r="D17" s="1625" t="s">
        <v>3360</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3" t="s">
        <v>1130</v>
      </c>
      <c r="B2" s="3533"/>
      <c r="C2" s="3533"/>
      <c r="D2" s="796" t="s">
        <v>1106</v>
      </c>
      <c r="E2" s="1639" t="s">
        <v>1107</v>
      </c>
      <c r="F2" s="2634"/>
      <c r="G2" s="2625"/>
      <c r="H2" s="2626"/>
      <c r="I2" s="2324" t="s">
        <v>1131</v>
      </c>
      <c r="J2" s="2634"/>
      <c r="K2" s="2634"/>
      <c r="L2" s="2634"/>
      <c r="M2" s="2634"/>
      <c r="N2" s="2636"/>
      <c r="O2" s="2634"/>
      <c r="P2" s="2634"/>
    </row>
    <row r="3" spans="1:16" ht="15.75" thickBot="1">
      <c r="A3" s="3534" t="s">
        <v>1104</v>
      </c>
      <c r="B3" s="3534"/>
      <c r="C3" s="3534"/>
      <c r="D3" s="43">
        <f>'数据-基础表'!AY6</f>
        <v>0</v>
      </c>
      <c r="E3" s="43">
        <f>'数据-基础表'!AZ5</f>
        <v>1123.97</v>
      </c>
      <c r="F3" s="2634"/>
      <c r="G3" s="1145"/>
      <c r="H3" s="1026" t="s">
        <v>1105</v>
      </c>
      <c r="I3" s="855" t="e">
        <f>ROUND('数据-基础表'!B3/'数据-基础表'!A3,2)</f>
        <v>#DIV/0!</v>
      </c>
      <c r="J3" s="2634"/>
      <c r="K3" s="2634"/>
      <c r="L3" s="2634"/>
      <c r="M3" s="2634"/>
      <c r="N3" s="2636"/>
      <c r="O3" s="2634"/>
      <c r="P3" s="2634"/>
    </row>
    <row r="4" spans="1:16" ht="15">
      <c r="A4" s="3535"/>
      <c r="B4" s="3536"/>
      <c r="C4" s="3537"/>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38" t="s">
        <v>1109</v>
      </c>
      <c r="C5" s="3538"/>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38" t="s">
        <v>1110</v>
      </c>
      <c r="C6" s="3538"/>
      <c r="D6" s="45">
        <f>ROUND($D$3*E6/$E$3,2)</f>
        <v>0</v>
      </c>
      <c r="E6" s="46">
        <f>E3-E5</f>
        <v>1123.97</v>
      </c>
      <c r="F6" s="2634"/>
      <c r="G6" s="2628" t="s">
        <v>1111</v>
      </c>
      <c r="H6" s="1146" t="s">
        <v>1112</v>
      </c>
      <c r="I6" s="2629" t="e">
        <f>ROUND(F31/D31,2)</f>
        <v>#DIV/0!</v>
      </c>
      <c r="J6" s="2634"/>
      <c r="K6" s="2634"/>
      <c r="L6" s="2634"/>
      <c r="M6" s="2634"/>
      <c r="N6" s="2634"/>
      <c r="O6" s="2634"/>
      <c r="P6" s="2634"/>
    </row>
    <row r="7" spans="1:16" ht="15.75" thickBot="1">
      <c r="A7" s="3530"/>
      <c r="B7" s="3531"/>
      <c r="C7" s="3532"/>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1123.97</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1123.97</v>
      </c>
      <c r="F16" s="2634"/>
      <c r="G16" s="2635"/>
      <c r="H16" s="1648" t="s">
        <v>1134</v>
      </c>
      <c r="I16" s="1649"/>
      <c r="J16" s="1139"/>
      <c r="K16" s="3527" t="s">
        <v>1134</v>
      </c>
      <c r="L16" s="3528"/>
      <c r="M16" s="3528"/>
      <c r="N16" s="3528"/>
      <c r="O16" s="3528"/>
      <c r="P16" s="3529"/>
    </row>
    <row r="17" spans="1:19" ht="15">
      <c r="A17" s="1650" t="s">
        <v>1135</v>
      </c>
      <c r="B17" s="1651" t="s">
        <v>1136</v>
      </c>
      <c r="C17" s="1652" t="s">
        <v>1137</v>
      </c>
      <c r="D17" s="1653" t="s">
        <v>1125</v>
      </c>
      <c r="E17" s="1654" t="s">
        <v>1126</v>
      </c>
      <c r="F17" s="1655"/>
      <c r="G17" s="1656"/>
      <c r="H17" s="1657" t="s">
        <v>1138</v>
      </c>
      <c r="I17" s="1658" t="s">
        <v>1123</v>
      </c>
      <c r="J17" s="1139"/>
      <c r="K17" s="3524" t="s">
        <v>1139</v>
      </c>
      <c r="L17" s="3525"/>
      <c r="M17" s="3526"/>
      <c r="N17" s="3524" t="s">
        <v>1140</v>
      </c>
      <c r="O17" s="3525"/>
      <c r="P17" s="3526"/>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3500</v>
      </c>
      <c r="D19" s="45">
        <f>ROUND($D$3*E19/$E$3,2)</f>
        <v>0</v>
      </c>
      <c r="E19" s="53">
        <f t="shared" ref="E19:E26" si="1">SUM(F19:G19)</f>
        <v>1123.97</v>
      </c>
      <c r="F19" s="2770">
        <f>'数据-基础表'!BB5</f>
        <v>1123.97</v>
      </c>
      <c r="G19" s="2771">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1123.97</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1123.97</v>
      </c>
      <c r="F27" s="1140">
        <f>IF(SUM(F19:F26)=E8,SUM(F19:F26),"地上面积有误")</f>
        <v>1123.97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1123.97</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1123.97</v>
      </c>
      <c r="F31" s="677">
        <f>F27+F30</f>
        <v>1123.97</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W459" sqref="W459"/>
      <selection pane="topRight" activeCell="W459" sqref="W459"/>
      <selection pane="bottomLeft" activeCell="W459" sqref="W459"/>
      <selection pane="bottomRight" activeCell="B29" sqref="B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1123.97</v>
      </c>
      <c r="L6" s="733">
        <v>3200</v>
      </c>
      <c r="M6" s="67">
        <f t="shared" ref="M6:M14" si="0">ROUND(K6*L6/10000,0)</f>
        <v>360</v>
      </c>
      <c r="N6" s="731">
        <f>N19</f>
        <v>0.95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1123.97</v>
      </c>
      <c r="L16" s="93">
        <f>ROUND(M16*10000/SUM(K6:K14),0)</f>
        <v>3203</v>
      </c>
      <c r="M16" s="93">
        <f>SUM(M6:M14)</f>
        <v>360</v>
      </c>
      <c r="N16" s="94">
        <f>ROUND(SUMPRODUCT(M6:M14,N6:N14)/M16,3)</f>
        <v>0.95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9" t="s">
        <v>3375</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3376</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3451" t="s">
        <v>3501</v>
      </c>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3451" t="s">
        <v>3502</v>
      </c>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22</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3378</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39" t="s">
        <v>2261</v>
      </c>
      <c r="B1" s="3540"/>
      <c r="C1" s="3540"/>
      <c r="D1" s="3540"/>
      <c r="E1" s="3540"/>
      <c r="F1" s="3540"/>
      <c r="G1" s="3540"/>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3379</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3381</v>
      </c>
      <c r="D4" s="2460"/>
      <c r="E4" s="2463"/>
      <c r="F4" s="1373" t="s">
        <v>2234</v>
      </c>
      <c r="G4" s="2464" t="s">
        <v>2235</v>
      </c>
      <c r="H4" s="799"/>
      <c r="I4" s="799"/>
      <c r="J4" s="799"/>
      <c r="K4" s="799"/>
      <c r="L4" s="799"/>
      <c r="M4" s="799"/>
      <c r="N4" s="799"/>
      <c r="O4" s="799"/>
      <c r="P4" s="799"/>
      <c r="Q4" s="799"/>
      <c r="R4" s="799"/>
    </row>
    <row r="5" spans="1:29" ht="24">
      <c r="A5" s="2438"/>
      <c r="B5" s="323" t="s">
        <v>2236</v>
      </c>
      <c r="C5" s="3431" t="s">
        <v>3382</v>
      </c>
      <c r="D5" s="2460"/>
      <c r="E5" s="2463"/>
      <c r="F5" s="323" t="s">
        <v>2237</v>
      </c>
      <c r="G5" s="2464" t="s">
        <v>2238</v>
      </c>
      <c r="H5" s="799"/>
      <c r="I5" s="799"/>
      <c r="J5" s="799"/>
      <c r="K5" s="799"/>
      <c r="L5" s="799"/>
      <c r="M5" s="799"/>
      <c r="N5" s="799"/>
      <c r="O5" s="799"/>
      <c r="P5" s="799"/>
      <c r="Q5" s="799"/>
      <c r="R5" s="799"/>
    </row>
    <row r="6" spans="1:29">
      <c r="A6" s="2438"/>
      <c r="B6" s="323" t="s">
        <v>2239</v>
      </c>
      <c r="C6" s="3432" t="s">
        <v>3383</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3383</v>
      </c>
      <c r="D7" s="2465"/>
      <c r="E7" s="2466"/>
      <c r="F7" s="2467" t="s">
        <v>2242</v>
      </c>
      <c r="G7" s="2468" t="s">
        <v>2243</v>
      </c>
      <c r="H7" s="799"/>
      <c r="I7" s="799"/>
      <c r="J7" s="799"/>
      <c r="K7" s="799"/>
      <c r="L7" s="799"/>
      <c r="M7" s="799"/>
      <c r="N7" s="799"/>
      <c r="O7" s="799"/>
      <c r="P7" s="799"/>
      <c r="Q7" s="799"/>
      <c r="R7" s="799"/>
    </row>
    <row r="8" spans="1:29">
      <c r="A8" s="2438"/>
      <c r="B8" s="323" t="s">
        <v>2240</v>
      </c>
      <c r="C8" s="3432" t="s">
        <v>3384</v>
      </c>
      <c r="D8" s="2465"/>
      <c r="E8" s="2465"/>
      <c r="F8" s="2469"/>
      <c r="G8" s="2469"/>
      <c r="H8" s="799"/>
      <c r="I8" s="799"/>
      <c r="J8" s="799"/>
      <c r="K8" s="799"/>
      <c r="L8" s="799"/>
      <c r="M8" s="799"/>
      <c r="N8" s="799"/>
      <c r="O8" s="799"/>
      <c r="P8" s="799"/>
      <c r="Q8" s="799"/>
      <c r="R8" s="799"/>
    </row>
    <row r="9" spans="1:29">
      <c r="A9" s="2438"/>
      <c r="B9" s="323" t="s">
        <v>2244</v>
      </c>
      <c r="C9" s="3431" t="s">
        <v>3386</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3405</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3406</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E36" sqref="E3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1123.97</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2847</v>
      </c>
      <c r="C5" s="2506">
        <f ca="1">IF(B5=D14,结果表!H102,ROUND(B5*10000/$B$1,0))</f>
        <v>25331</v>
      </c>
      <c r="D5" s="2506" t="e">
        <f ca="1">ROUND(B5*10000/$B$2,0)</f>
        <v>#DIV/0!</v>
      </c>
      <c r="E5" s="2661"/>
      <c r="F5" s="2662"/>
      <c r="G5" s="2662"/>
      <c r="H5" s="2663"/>
      <c r="I5" s="2663"/>
      <c r="J5" s="2663"/>
      <c r="K5" s="2663"/>
    </row>
    <row r="6" spans="1:11" ht="16.5">
      <c r="A6" s="2506" t="s">
        <v>656</v>
      </c>
      <c r="B6" s="2506">
        <f ca="1">SUM(G14:G23)</f>
        <v>2847</v>
      </c>
      <c r="C6" s="2506">
        <f ca="1">IF(B6=G14,结果表!H108,ROUND(B6*10000/$B$1,0))</f>
        <v>25331</v>
      </c>
      <c r="D6" s="2506" t="e">
        <f ca="1">ROUND(B6*10000/$B$2,0)</f>
        <v>#DIV/0!</v>
      </c>
      <c r="E6" s="2661"/>
      <c r="F6" s="2662"/>
      <c r="G6" s="2662"/>
      <c r="H6" s="2663"/>
      <c r="I6" s="2663"/>
      <c r="J6" s="2663"/>
      <c r="K6" s="2663"/>
    </row>
    <row r="7" spans="1:11" ht="16.5">
      <c r="A7" s="2506" t="s">
        <v>664</v>
      </c>
      <c r="B7" s="2506">
        <f>SUM(H14:H23)</f>
        <v>0</v>
      </c>
      <c r="C7" s="2506">
        <f>IF(B7=H14,结果表!H110,ROUND(B7*10000/$B$1,0))</f>
        <v>0</v>
      </c>
      <c r="D7" s="2506" t="e">
        <f>ROUND(B7*10000/$B$2,0)</f>
        <v>#DIV/0!</v>
      </c>
      <c r="E7" s="2661"/>
      <c r="F7" s="2662"/>
      <c r="G7" s="2662"/>
      <c r="H7" s="2663"/>
      <c r="I7" s="2663"/>
      <c r="J7" s="2663"/>
      <c r="K7" s="2663"/>
    </row>
    <row r="8" spans="1:11" ht="16.5">
      <c r="A8" s="2506" t="s">
        <v>587</v>
      </c>
      <c r="B8" s="2506">
        <f ca="1">SUM(I14:I23)</f>
        <v>2846</v>
      </c>
      <c r="C8" s="2506">
        <f ca="1">IF(B8=I14,结果表!H112,ROUND(B8*10000/$B$1,0))</f>
        <v>25321</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1123.97</v>
      </c>
      <c r="C14" s="2512">
        <f>结果表!C118</f>
        <v>0</v>
      </c>
      <c r="D14" s="2512">
        <f ca="1">结果表!H118</f>
        <v>2847</v>
      </c>
      <c r="E14" s="2512">
        <f ca="1">ROUND(D14*10000/B14,0)</f>
        <v>25330</v>
      </c>
      <c r="F14" s="2512" t="e">
        <f ca="1">ROUND(D14*10000/C14,0)</f>
        <v>#DIV/0!</v>
      </c>
      <c r="G14" s="2512">
        <f ca="1">结果表!D122</f>
        <v>2847</v>
      </c>
      <c r="H14" s="2512" t="str">
        <f>结果表!D124</f>
        <v>——</v>
      </c>
      <c r="I14" s="2512">
        <f ca="1">结果表!D126</f>
        <v>2846</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8" zoomScale="90" zoomScaleNormal="100" zoomScaleSheetLayoutView="90" zoomScalePageLayoutView="80" workbookViewId="0">
      <selection activeCell="I103" sqref="I10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3499</v>
      </c>
      <c r="D1" s="1747"/>
      <c r="E1" s="1747"/>
      <c r="F1" s="1749" t="s">
        <v>1262</v>
      </c>
      <c r="G1" s="1561" t="s">
        <v>3361</v>
      </c>
      <c r="H1" s="1750" t="str">
        <f>IF(G1="现房","——","估价对象范围")</f>
        <v>——</v>
      </c>
      <c r="I1" s="1751" t="s">
        <v>3504</v>
      </c>
    </row>
    <row r="2" spans="1:12" ht="21.75" customHeight="1" thickBot="1">
      <c r="A2" s="3575" t="str">
        <f>项目基本情况!S2</f>
        <v>北京市陈庄子路3号院4号楼3层301房地产</v>
      </c>
      <c r="B2" s="3576"/>
      <c r="C2" s="3576"/>
      <c r="D2" s="3576"/>
      <c r="E2" s="3576"/>
      <c r="F2" s="3576"/>
      <c r="G2" s="3576"/>
      <c r="H2" s="3576"/>
      <c r="I2" s="3577"/>
    </row>
    <row r="3" spans="1:12" ht="12.75">
      <c r="A3" s="3579" t="s">
        <v>1263</v>
      </c>
      <c r="B3" s="3580"/>
      <c r="C3" s="3580"/>
      <c r="D3" s="3580"/>
      <c r="E3" s="3580"/>
      <c r="F3" s="3580"/>
      <c r="G3" s="3580"/>
      <c r="H3" s="3580"/>
      <c r="I3" s="3580"/>
    </row>
    <row r="4" spans="1:12" ht="14.25">
      <c r="A4" s="1754" t="s">
        <v>1264</v>
      </c>
      <c r="B4" s="1755" t="s">
        <v>1265</v>
      </c>
      <c r="C4" s="1756" t="s">
        <v>3493</v>
      </c>
      <c r="D4" s="1756" t="s">
        <v>3481</v>
      </c>
      <c r="E4" s="3581" t="s">
        <v>1266</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55" t="s">
        <v>1267</v>
      </c>
      <c r="B5" s="3542">
        <v>25</v>
      </c>
      <c r="C5" s="3558"/>
      <c r="D5" s="3578"/>
      <c r="E5" s="131" t="s">
        <v>1268</v>
      </c>
      <c r="F5" s="1757"/>
      <c r="G5" s="1757"/>
      <c r="H5" s="1757"/>
      <c r="I5" s="1373"/>
    </row>
    <row r="6" spans="1:12" ht="12.75">
      <c r="A6" s="3555"/>
      <c r="B6" s="3542"/>
      <c r="C6" s="3559"/>
      <c r="D6" s="3578"/>
      <c r="E6" s="131" t="s">
        <v>1269</v>
      </c>
      <c r="F6" s="1757"/>
      <c r="G6" s="1757"/>
      <c r="H6" s="1757"/>
      <c r="I6" s="1373"/>
    </row>
    <row r="7" spans="1:12" ht="12.75">
      <c r="A7" s="3555"/>
      <c r="B7" s="3542"/>
      <c r="C7" s="3560"/>
      <c r="D7" s="3578"/>
      <c r="E7" s="131" t="s">
        <v>1270</v>
      </c>
      <c r="F7" s="1757"/>
      <c r="G7" s="1757"/>
      <c r="H7" s="1757"/>
      <c r="I7" s="1373"/>
    </row>
    <row r="8" spans="1:12" ht="12.75">
      <c r="A8" s="3555" t="s">
        <v>1271</v>
      </c>
      <c r="B8" s="3542">
        <v>15</v>
      </c>
      <c r="C8" s="3558"/>
      <c r="D8" s="3578"/>
      <c r="E8" s="131" t="s">
        <v>1272</v>
      </c>
      <c r="F8" s="1757"/>
      <c r="G8" s="1757"/>
      <c r="H8" s="1757"/>
      <c r="I8" s="1373"/>
    </row>
    <row r="9" spans="1:12" ht="12.75">
      <c r="A9" s="3555"/>
      <c r="B9" s="3542"/>
      <c r="C9" s="3560"/>
      <c r="D9" s="3578"/>
      <c r="E9" s="131" t="s">
        <v>1273</v>
      </c>
      <c r="F9" s="1757"/>
      <c r="G9" s="1757"/>
      <c r="H9" s="1757"/>
      <c r="I9" s="1373"/>
    </row>
    <row r="10" spans="1:12" ht="12.75">
      <c r="A10" s="3555" t="s">
        <v>1274</v>
      </c>
      <c r="B10" s="3542">
        <v>15</v>
      </c>
      <c r="C10" s="3558"/>
      <c r="D10" s="3578"/>
      <c r="E10" s="131" t="s">
        <v>1275</v>
      </c>
      <c r="F10" s="1757"/>
      <c r="G10" s="1757"/>
      <c r="H10" s="1757"/>
      <c r="I10" s="1373"/>
    </row>
    <row r="11" spans="1:12" ht="12.75">
      <c r="A11" s="3555"/>
      <c r="B11" s="3542"/>
      <c r="C11" s="3560"/>
      <c r="D11" s="3578"/>
      <c r="E11" s="131" t="s">
        <v>1276</v>
      </c>
      <c r="F11" s="1757"/>
      <c r="G11" s="1757"/>
      <c r="H11" s="1757"/>
      <c r="I11" s="1373"/>
    </row>
    <row r="12" spans="1:12" ht="12.75">
      <c r="A12" s="3555" t="s">
        <v>1277</v>
      </c>
      <c r="B12" s="3542">
        <v>15</v>
      </c>
      <c r="C12" s="3558"/>
      <c r="D12" s="3578"/>
      <c r="E12" s="131" t="s">
        <v>1278</v>
      </c>
      <c r="F12" s="1757"/>
      <c r="G12" s="1757"/>
      <c r="H12" s="1757"/>
      <c r="I12" s="1373"/>
    </row>
    <row r="13" spans="1:12" ht="12.75">
      <c r="A13" s="3555"/>
      <c r="B13" s="3542"/>
      <c r="C13" s="3560"/>
      <c r="D13" s="3578"/>
      <c r="E13" s="131" t="s">
        <v>1279</v>
      </c>
      <c r="F13" s="1757"/>
      <c r="G13" s="1757"/>
      <c r="H13" s="1757"/>
      <c r="I13" s="1373"/>
    </row>
    <row r="14" spans="1:12" ht="12.75">
      <c r="A14" s="3555" t="s">
        <v>1280</v>
      </c>
      <c r="B14" s="3542">
        <v>30</v>
      </c>
      <c r="C14" s="3558">
        <v>7</v>
      </c>
      <c r="D14" s="3578">
        <v>3</v>
      </c>
      <c r="E14" s="131" t="s">
        <v>1281</v>
      </c>
      <c r="F14" s="1757"/>
      <c r="G14" s="1757"/>
      <c r="H14" s="1757"/>
      <c r="I14" s="1373"/>
    </row>
    <row r="15" spans="1:12" ht="12.75">
      <c r="A15" s="3555"/>
      <c r="B15" s="3542"/>
      <c r="C15" s="3559"/>
      <c r="D15" s="3578"/>
      <c r="E15" s="131" t="s">
        <v>1282</v>
      </c>
      <c r="F15" s="1757"/>
      <c r="G15" s="1757"/>
      <c r="H15" s="1757"/>
      <c r="I15" s="1373"/>
    </row>
    <row r="16" spans="1:12" ht="12.75">
      <c r="A16" s="3555"/>
      <c r="B16" s="3542"/>
      <c r="C16" s="3560"/>
      <c r="D16" s="3578"/>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65" t="s">
        <v>2113</v>
      </c>
      <c r="F18" s="3566"/>
      <c r="G18" s="3566"/>
      <c r="H18" s="3566"/>
      <c r="I18" s="3566"/>
      <c r="K18" s="302" t="s">
        <v>1288</v>
      </c>
      <c r="L18" s="302">
        <f>IF(C1="",'数据-汇总表'!E3,SUMIF(项目类型,C1,'数据-汇总表'!E17:E26)+SUMIF(项目类型,C1,'数据-汇总表'!I17:I26))</f>
        <v>1123.97</v>
      </c>
      <c r="M18" s="302">
        <f>IF(C1="",'数据-汇总表'!E3,SUMIF(项目类型,C1,'数据-汇总表'!E17:E26))</f>
        <v>1123.97</v>
      </c>
    </row>
    <row r="19" spans="1:36" ht="15">
      <c r="A19" s="1761" t="s">
        <v>1289</v>
      </c>
      <c r="B19" s="1762" t="s">
        <v>1290</v>
      </c>
      <c r="C19" s="134">
        <f ca="1">SUMIF(INDIRECT("'"&amp;C4&amp;"'"&amp;"!A:A"),结果表!B19,INDIRECT("'"&amp;C4&amp;"'"&amp;"!B:B"))</f>
        <v>3160</v>
      </c>
      <c r="D19" s="135">
        <f ca="1">SUMIF(INDIRECT("'"&amp;D4&amp;"'"&amp;"!A:A"),结果表!B19,INDIRECT("'"&amp;D4&amp;"'"&amp;"!B:B"))</f>
        <v>2117</v>
      </c>
      <c r="E19" s="1761" t="s">
        <v>1291</v>
      </c>
      <c r="F19" s="1762" t="s">
        <v>1290</v>
      </c>
      <c r="G19" s="136">
        <f ca="1">ROUND(C19*$C$18+D19*$D$18,0)</f>
        <v>2847</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28115</v>
      </c>
      <c r="D20" s="138">
        <f ca="1">SUMIF(INDIRECT("'"&amp;D4&amp;"'"&amp;"!A:A"),结果表!B20,INDIRECT("'"&amp;D4&amp;"'"&amp;"!B:B"))</f>
        <v>18835</v>
      </c>
      <c r="E20" s="1764"/>
      <c r="F20" s="1026" t="s">
        <v>1294</v>
      </c>
      <c r="G20" s="139">
        <f ca="1">ROUND(C20*$C$18+D20*$D$18,0)</f>
        <v>25331</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0.49267831837505915</v>
      </c>
      <c r="E22" s="129"/>
      <c r="F22" s="129"/>
      <c r="G22" s="129"/>
      <c r="H22" s="129"/>
      <c r="I22" s="129"/>
    </row>
    <row r="23" spans="1:36" ht="13.5" thickBot="1">
      <c r="A23" s="1747"/>
      <c r="B23" s="1747"/>
      <c r="C23" s="1747"/>
      <c r="D23" s="1747"/>
      <c r="E23" s="129"/>
      <c r="F23" s="129"/>
      <c r="G23" s="129"/>
      <c r="H23" s="129"/>
      <c r="I23" s="129"/>
    </row>
    <row r="24" spans="1:36" ht="14.25" hidden="1">
      <c r="A24" s="3549" t="s">
        <v>1298</v>
      </c>
      <c r="B24" s="1762" t="s">
        <v>1290</v>
      </c>
      <c r="C24" s="136">
        <f>IF(B30=0,0,D30)</f>
        <v>0</v>
      </c>
      <c r="D24" s="1769"/>
      <c r="E24" s="129"/>
      <c r="F24" s="129"/>
      <c r="G24" s="129"/>
      <c r="H24" s="129"/>
      <c r="I24" s="129"/>
    </row>
    <row r="25" spans="1:36" ht="14.25" hidden="1">
      <c r="A25" s="3550"/>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25331</v>
      </c>
      <c r="D32" s="1775" t="s">
        <v>3505</v>
      </c>
      <c r="E32" s="129"/>
      <c r="F32" s="129"/>
      <c r="G32" s="129"/>
      <c r="H32" s="129"/>
      <c r="I32" s="129"/>
    </row>
    <row r="33" spans="1:15" ht="15">
      <c r="A33" s="786" t="s">
        <v>1305</v>
      </c>
      <c r="B33" s="1776"/>
      <c r="C33" s="1777" t="s">
        <v>3483</v>
      </c>
      <c r="D33" s="1778" t="s">
        <v>3481</v>
      </c>
      <c r="E33" s="1779" t="s">
        <v>1306</v>
      </c>
      <c r="F33" s="1780" t="str">
        <f>IF(D32="楼面单价","取值（单价）","取值（总价）")</f>
        <v>取值（单价）</v>
      </c>
      <c r="G33" s="129"/>
      <c r="H33" s="129"/>
      <c r="I33" s="129"/>
    </row>
    <row r="34" spans="1:15" ht="15">
      <c r="A34" s="1781"/>
      <c r="B34" s="1782" t="s">
        <v>1307</v>
      </c>
      <c r="C34" s="148">
        <f ca="1">IF(C33="自定义",F34,C32-C35)</f>
        <v>19733</v>
      </c>
      <c r="D34" s="861">
        <f ca="1">IF(C33="自定义",ROUND(C34/C32,3),IF(C33="收益比率",SUMIF(INDIRECT("'"&amp;D33&amp;"'"&amp;"!b:b"),"土地收益比率",INDIRECT("'"&amp;D33&amp;"'"&amp;"!c:c")),SUMIF(INDIRECT("'"&amp;D33&amp;"'"&amp;"!b:b"),"土地成本比率",INDIRECT("'"&amp;D33&amp;"'"&amp;"!c:c"))))</f>
        <v>0.77900000000000003</v>
      </c>
      <c r="E34" s="1783" t="s">
        <v>1308</v>
      </c>
      <c r="F34" s="1330"/>
      <c r="G34" s="129"/>
      <c r="H34" s="129"/>
      <c r="I34" s="129"/>
    </row>
    <row r="35" spans="1:15" ht="15.75" thickBot="1">
      <c r="A35" s="1784"/>
      <c r="B35" s="1785" t="s">
        <v>1309</v>
      </c>
      <c r="C35" s="1170">
        <f ca="1">IF(C33="自定义",F35,ROUND(C32*D35,0))</f>
        <v>5598</v>
      </c>
      <c r="D35" s="1171">
        <f ca="1">IF(C33="自定义",ROUND(C35/C32,3),IF(C33="收益比率",SUMIF(INDIRECT("'"&amp;D33&amp;"'"&amp;"!b:b"),"建筑物收益比率",INDIRECT("'"&amp;D33&amp;"'"&amp;"!c:c")),SUMIF(INDIRECT("'"&amp;D33&amp;"'"&amp;"!b:b"),"建筑物成本比率",INDIRECT("'"&amp;D33&amp;"'"&amp;"!c:c"))))</f>
        <v>0.221</v>
      </c>
      <c r="E35" s="1786" t="s">
        <v>1310</v>
      </c>
      <c r="F35" s="154"/>
      <c r="G35" s="129"/>
      <c r="H35" s="129"/>
      <c r="I35" s="129"/>
    </row>
    <row r="36" spans="1:15" ht="15.75" thickBot="1">
      <c r="A36" s="3569" t="s">
        <v>1311</v>
      </c>
      <c r="B36" s="1787" t="s">
        <v>1312</v>
      </c>
      <c r="C36" s="145"/>
      <c r="D36" s="1788"/>
      <c r="E36" s="1789"/>
      <c r="F36" s="1790"/>
      <c r="G36" s="129"/>
      <c r="H36" s="129"/>
      <c r="I36" s="129"/>
    </row>
    <row r="37" spans="1:15" ht="15.75" thickBot="1">
      <c r="A37" s="3570"/>
      <c r="B37" s="1674" t="s">
        <v>1313</v>
      </c>
      <c r="C37" s="147"/>
      <c r="D37" s="1139"/>
      <c r="E37" s="1139"/>
      <c r="F37" s="1790"/>
      <c r="G37" s="129"/>
      <c r="H37" s="129"/>
      <c r="I37" s="129"/>
    </row>
    <row r="38" spans="1:15" ht="15.75" thickBot="1">
      <c r="A38" s="3571"/>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6" t="s">
        <v>1325</v>
      </c>
      <c r="B45" s="3547"/>
      <c r="C45" s="3548"/>
      <c r="D45" s="155">
        <f ca="1">ROUND(H101*F45,0)</f>
        <v>2847</v>
      </c>
      <c r="E45" s="156" t="s">
        <v>1326</v>
      </c>
      <c r="F45" s="157">
        <v>1</v>
      </c>
      <c r="G45" s="158" t="s">
        <v>1327</v>
      </c>
      <c r="H45" s="129"/>
      <c r="I45" s="129"/>
      <c r="J45" s="3621" t="s">
        <v>1328</v>
      </c>
      <c r="K45" s="3621"/>
      <c r="L45" s="3621"/>
      <c r="M45" s="3621"/>
      <c r="N45" s="3621"/>
      <c r="O45" s="3621"/>
    </row>
    <row r="46" spans="1:15" ht="14.25" customHeight="1">
      <c r="A46" s="3543" t="s">
        <v>1329</v>
      </c>
      <c r="B46" s="3544"/>
      <c r="C46" s="3544"/>
      <c r="D46" s="3544"/>
      <c r="E46" s="3544"/>
      <c r="F46" s="3544"/>
      <c r="G46" s="3545"/>
      <c r="H46" s="1806"/>
      <c r="I46" s="159"/>
      <c r="J46" s="2517">
        <v>1</v>
      </c>
      <c r="K46" s="3605" t="s">
        <v>1330</v>
      </c>
      <c r="L46" s="3605"/>
      <c r="M46" s="3622"/>
      <c r="N46" s="3622"/>
      <c r="O46" s="3622"/>
    </row>
    <row r="47" spans="1:15" ht="12" customHeight="1">
      <c r="A47" s="160" t="s">
        <v>1331</v>
      </c>
      <c r="B47" s="161"/>
      <c r="C47" s="162"/>
      <c r="D47" s="1087" t="s">
        <v>1332</v>
      </c>
      <c r="E47" s="302" t="s">
        <v>1333</v>
      </c>
      <c r="F47" s="163" t="s">
        <v>1334</v>
      </c>
      <c r="G47" s="2521" t="s">
        <v>1335</v>
      </c>
      <c r="H47" s="2522"/>
      <c r="I47" s="159"/>
      <c r="J47" s="170">
        <v>2</v>
      </c>
      <c r="K47" s="3786" t="s">
        <v>3506</v>
      </c>
      <c r="L47" s="3786"/>
      <c r="M47" s="3787">
        <f>'数据-取费表'!B2</f>
        <v>44931</v>
      </c>
      <c r="N47" s="3787"/>
      <c r="O47" s="3787"/>
    </row>
    <row r="48" spans="1:15" ht="25.5">
      <c r="A48" s="3574" t="s">
        <v>1336</v>
      </c>
      <c r="B48" s="3557"/>
      <c r="C48" s="3557"/>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3484</v>
      </c>
      <c r="I48" s="1806"/>
      <c r="J48" s="170">
        <v>3</v>
      </c>
      <c r="K48" s="3786" t="s">
        <v>3517</v>
      </c>
      <c r="L48" s="3786"/>
      <c r="M48" s="3788">
        <f ca="1">H101</f>
        <v>2847</v>
      </c>
      <c r="N48" s="3788"/>
      <c r="O48" s="3788"/>
    </row>
    <row r="49" spans="1:35" ht="25.5" customHeight="1">
      <c r="A49" s="2332" t="s">
        <v>1338</v>
      </c>
      <c r="B49" s="3541" t="s">
        <v>1339</v>
      </c>
      <c r="C49" s="3541"/>
      <c r="D49" s="1590">
        <v>0</v>
      </c>
      <c r="E49" s="324" t="s">
        <v>1340</v>
      </c>
      <c r="F49" s="2420" t="s">
        <v>28</v>
      </c>
      <c r="G49" s="3608"/>
      <c r="H49" s="2309" t="s">
        <v>2116</v>
      </c>
      <c r="I49" s="2310"/>
      <c r="J49" s="170">
        <v>4</v>
      </c>
      <c r="K49" s="3786" t="str">
        <f>IF(项目基本情况!E8="房地产抵押价值","房地产抵押价值","抵押担保权已注销时的房地产抵押价值")</f>
        <v>房地产抵押价值</v>
      </c>
      <c r="L49" s="3786"/>
      <c r="M49" s="3788">
        <f ca="1">IF(项目基本情况!E8="房地产抵押价值",H107,H109)</f>
        <v>2847</v>
      </c>
      <c r="N49" s="3788"/>
      <c r="O49" s="3788"/>
    </row>
    <row r="50" spans="1:35" ht="25.5" customHeight="1">
      <c r="A50" s="2526"/>
      <c r="B50" s="3541" t="s">
        <v>1341</v>
      </c>
      <c r="C50" s="3541"/>
      <c r="D50" s="2527"/>
      <c r="E50" s="332"/>
      <c r="F50" s="2420"/>
      <c r="G50" s="3609"/>
      <c r="H50" s="2311" t="s">
        <v>2117</v>
      </c>
      <c r="I50" s="2310"/>
      <c r="J50" s="3788" t="s">
        <v>3507</v>
      </c>
      <c r="K50" s="3788"/>
      <c r="L50" s="3788"/>
      <c r="M50" s="3788"/>
      <c r="N50" s="3788"/>
      <c r="O50" s="3788"/>
    </row>
    <row r="51" spans="1:35" ht="20.45" customHeight="1">
      <c r="A51" s="2528"/>
      <c r="B51" s="3541" t="s">
        <v>1342</v>
      </c>
      <c r="C51" s="3541"/>
      <c r="D51" s="1087"/>
      <c r="E51" s="327"/>
      <c r="F51" s="2420"/>
      <c r="G51" s="3610"/>
      <c r="H51" s="2311" t="s">
        <v>2118</v>
      </c>
      <c r="I51" s="2310"/>
      <c r="J51" s="174" t="s">
        <v>3508</v>
      </c>
      <c r="K51" s="3786" t="s">
        <v>3509</v>
      </c>
      <c r="L51" s="3786"/>
      <c r="M51" s="174" t="s">
        <v>3518</v>
      </c>
      <c r="N51" s="174" t="s">
        <v>3510</v>
      </c>
      <c r="O51" s="174" t="s">
        <v>3511</v>
      </c>
    </row>
    <row r="52" spans="1:35" ht="24" customHeight="1">
      <c r="A52" s="2334" t="s">
        <v>1343</v>
      </c>
      <c r="B52" s="3541" t="s">
        <v>1344</v>
      </c>
      <c r="C52" s="3541"/>
      <c r="D52" s="1087">
        <f ca="1">ROUND(D45*'数据-取费表'!B41/(1+'数据-取费表'!C42),0)</f>
        <v>149</v>
      </c>
      <c r="E52" s="2333" t="s">
        <v>1345</v>
      </c>
      <c r="F52" s="2529">
        <f>'数据-取费表'!B41</f>
        <v>5.5000000000000007E-2</v>
      </c>
      <c r="G52" s="2530"/>
      <c r="H52" s="2519"/>
      <c r="I52" s="1807"/>
      <c r="J52" s="170">
        <v>1</v>
      </c>
      <c r="K52" s="3789" t="s">
        <v>3519</v>
      </c>
      <c r="L52" s="3789"/>
      <c r="M52" s="170">
        <f ca="1">D48</f>
        <v>0</v>
      </c>
      <c r="N52" s="170" t="str">
        <f>E48</f>
        <v>(销售额-原购置价)×税（费）率</v>
      </c>
      <c r="O52" s="3790">
        <f>F48</f>
        <v>5.5000000000000007E-2</v>
      </c>
    </row>
    <row r="53" spans="1:35" ht="12" customHeight="1">
      <c r="A53" s="2334" t="s">
        <v>1346</v>
      </c>
      <c r="B53" s="3567" t="s">
        <v>2266</v>
      </c>
      <c r="C53" s="3568"/>
      <c r="D53" s="1087">
        <f ca="1">ROUND(D45*'数据-取费表'!B41/(1+'数据-取费表'!C42),0)</f>
        <v>149</v>
      </c>
      <c r="E53" s="2333" t="s">
        <v>1345</v>
      </c>
      <c r="F53" s="2529">
        <f>'数据-取费表'!B41</f>
        <v>5.5000000000000007E-2</v>
      </c>
      <c r="G53" s="2530"/>
      <c r="H53" s="2519"/>
      <c r="I53" s="1807"/>
      <c r="J53" s="170">
        <v>2</v>
      </c>
      <c r="K53" s="3789" t="s">
        <v>3520</v>
      </c>
      <c r="L53" s="3789"/>
      <c r="M53" s="170">
        <f t="shared" ref="M53:O54" ca="1" si="0">D55</f>
        <v>1</v>
      </c>
      <c r="N53" s="170" t="str">
        <f t="shared" si="0"/>
        <v>销售额×税（费）率</v>
      </c>
      <c r="O53" s="3790">
        <f t="shared" si="0"/>
        <v>5.0000000000000001E-4</v>
      </c>
    </row>
    <row r="54" spans="1:35" ht="12" customHeight="1">
      <c r="A54" s="2334" t="s">
        <v>1347</v>
      </c>
      <c r="B54" s="3567" t="s">
        <v>2267</v>
      </c>
      <c r="C54" s="3568"/>
      <c r="D54" s="1087">
        <f ca="1">C68</f>
        <v>0</v>
      </c>
      <c r="E54" s="327" t="s">
        <v>1348</v>
      </c>
      <c r="F54" s="2529">
        <f>'数据-取费表'!B41</f>
        <v>5.5000000000000007E-2</v>
      </c>
      <c r="G54" s="2530"/>
      <c r="H54" s="2531"/>
      <c r="I54" s="1807"/>
      <c r="J54" s="170">
        <v>3</v>
      </c>
      <c r="K54" s="3789" t="s">
        <v>3521</v>
      </c>
      <c r="L54" s="3789"/>
      <c r="M54" s="170">
        <f t="shared" ca="1" si="0"/>
        <v>0</v>
      </c>
      <c r="N54" s="170" t="str">
        <f t="shared" si="0"/>
        <v>增值额×税（费）率</v>
      </c>
      <c r="O54" s="3791" t="str">
        <f t="shared" si="0"/>
        <v>——</v>
      </c>
    </row>
    <row r="55" spans="1:35" ht="24" customHeight="1">
      <c r="A55" s="3556" t="s">
        <v>1349</v>
      </c>
      <c r="B55" s="3557"/>
      <c r="C55" s="3557"/>
      <c r="D55" s="2323">
        <f ca="1">IF(H55="个人住宅",0,ROUND(D45*I55,0))</f>
        <v>1</v>
      </c>
      <c r="E55" s="2333" t="s">
        <v>1350</v>
      </c>
      <c r="F55" s="2529">
        <f>IF(H55="正常",I55,"免征")</f>
        <v>5.0000000000000001E-4</v>
      </c>
      <c r="G55" s="2530"/>
      <c r="H55" s="2525" t="s">
        <v>3420</v>
      </c>
      <c r="I55" s="165">
        <f>'数据-取费表'!B49</f>
        <v>5.0000000000000001E-4</v>
      </c>
      <c r="J55" s="170" t="str">
        <f>IF(H59="非个人房产","",4)</f>
        <v/>
      </c>
      <c r="K55" s="3789" t="str">
        <f>IF(H59="非个人房产","——","个人所得税")</f>
        <v>——</v>
      </c>
      <c r="L55" s="3789"/>
      <c r="M55" s="2030" t="str">
        <f>D59</f>
        <v>——</v>
      </c>
      <c r="N55" s="2030" t="str">
        <f>E59</f>
        <v>——</v>
      </c>
      <c r="O55" s="3792" t="str">
        <f>F59</f>
        <v>——</v>
      </c>
    </row>
    <row r="56" spans="1:35" ht="24.75">
      <c r="A56" s="3556" t="s">
        <v>1351</v>
      </c>
      <c r="B56" s="3557"/>
      <c r="C56" s="3557"/>
      <c r="D56" s="2323">
        <f ca="1">IF(H56="个人住宅",D57,D58)</f>
        <v>0</v>
      </c>
      <c r="E56" s="2333" t="s">
        <v>1352</v>
      </c>
      <c r="F56" s="2529" t="str">
        <f>IF(H56="正常",F58,"免征")</f>
        <v>——</v>
      </c>
      <c r="G56" s="2532" t="s">
        <v>1353</v>
      </c>
      <c r="H56" s="2533" t="s">
        <v>3420</v>
      </c>
      <c r="I56" s="1808"/>
      <c r="J56" s="170" t="str">
        <f>IF(项目基本情况!K6="上海银行",IF(J55="",4,J55+1),"")</f>
        <v/>
      </c>
      <c r="K56" s="3793" t="str">
        <f>IF(项目基本情况!K6="上海银行","其他处置费用","")</f>
        <v/>
      </c>
      <c r="L56" s="3794"/>
      <c r="M56" s="170" t="str">
        <f>IF(项目基本情况!K6="上海银行",M69,"")</f>
        <v/>
      </c>
      <c r="N56" s="3793" t="str">
        <f>IF(项目基本情况!K6="上海银行","包含处置中涉及的律师、诉讼、拍卖、评估等费用","")</f>
        <v/>
      </c>
      <c r="O56" s="3795"/>
    </row>
    <row r="57" spans="1:35" ht="12.75">
      <c r="A57" s="2334" t="s">
        <v>1338</v>
      </c>
      <c r="B57" s="3567" t="s">
        <v>1354</v>
      </c>
      <c r="C57" s="3568"/>
      <c r="D57" s="1590">
        <v>0</v>
      </c>
      <c r="E57" s="324" t="s">
        <v>1340</v>
      </c>
      <c r="F57" s="302"/>
      <c r="G57" s="2530"/>
      <c r="H57" s="2534"/>
      <c r="I57" s="1808"/>
      <c r="J57" s="3789">
        <f>IF(AND(J55="",J56=""),4,IF(项目基本情况!K6="上海银行",结果表!J56+1,结果表!J55+1))</f>
        <v>4</v>
      </c>
      <c r="K57" s="3789" t="s">
        <v>3512</v>
      </c>
      <c r="L57" s="2556" t="s">
        <v>3513</v>
      </c>
      <c r="M57" s="3796"/>
      <c r="N57" s="3797">
        <f ca="1">SUMIF(M52:M56,"&lt;9e307")</f>
        <v>1</v>
      </c>
      <c r="O57" s="3798"/>
      <c r="P57" s="2665">
        <f ca="1">N57/M49</f>
        <v>3.5124692658939234E-4</v>
      </c>
    </row>
    <row r="58" spans="1:35" ht="24.75">
      <c r="A58" s="2334" t="s">
        <v>1343</v>
      </c>
      <c r="B58" s="3567" t="s">
        <v>1355</v>
      </c>
      <c r="C58" s="3541"/>
      <c r="D58" s="2323">
        <f ca="1">IF(H58="转让取得",C81,C97)</f>
        <v>0</v>
      </c>
      <c r="E58" s="2333" t="s">
        <v>1352</v>
      </c>
      <c r="F58" s="302" t="s">
        <v>28</v>
      </c>
      <c r="G58" s="2530"/>
      <c r="H58" s="2533" t="s">
        <v>3485</v>
      </c>
      <c r="I58" s="1808"/>
      <c r="J58" s="3789"/>
      <c r="K58" s="3789"/>
      <c r="L58" s="2556" t="s">
        <v>3514</v>
      </c>
      <c r="M58" s="2556"/>
      <c r="N58" s="3799" t="str">
        <f ca="1">NUMBERSTRING(INT(N57*10000),2)&amp;"元整"</f>
        <v>壹万元整</v>
      </c>
      <c r="O58" s="2096"/>
    </row>
    <row r="59" spans="1:35" ht="24.75" thickBot="1">
      <c r="A59" s="3606" t="s">
        <v>1356</v>
      </c>
      <c r="B59" s="3607"/>
      <c r="C59" s="3607"/>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3486</v>
      </c>
      <c r="I59" s="2312" t="s">
        <v>2119</v>
      </c>
      <c r="J59" s="3800">
        <f>J57+1</f>
        <v>5</v>
      </c>
      <c r="K59" s="3789" t="s">
        <v>3515</v>
      </c>
      <c r="L59" s="170" t="s">
        <v>3513</v>
      </c>
      <c r="M59" s="3801"/>
      <c r="N59" s="3802">
        <f ca="1">M49-N57</f>
        <v>2846</v>
      </c>
      <c r="O59" s="3803"/>
    </row>
    <row r="60" spans="1:35" ht="12" customHeight="1">
      <c r="A60" s="1809"/>
      <c r="B60" s="1747"/>
      <c r="C60" s="1747"/>
      <c r="D60" s="1747"/>
      <c r="E60" s="1578"/>
      <c r="F60" s="1808"/>
      <c r="G60" s="1808"/>
      <c r="H60" s="1810"/>
      <c r="I60" s="129"/>
      <c r="J60" s="3804"/>
      <c r="K60" s="3789"/>
      <c r="L60" s="2556" t="s">
        <v>3514</v>
      </c>
      <c r="M60" s="2556"/>
      <c r="N60" s="3799" t="str">
        <f ca="1">NUMBERSTRING(INT(N59*10000),2)&amp;"元整"</f>
        <v>贰仟捌佰肆拾陆万元整</v>
      </c>
      <c r="O60" s="2096"/>
    </row>
    <row r="61" spans="1:35" ht="13.5" thickBot="1">
      <c r="A61" s="3554" t="s">
        <v>1357</v>
      </c>
      <c r="B61" s="3554"/>
      <c r="C61" s="3554"/>
      <c r="D61" s="3554"/>
      <c r="E61" s="3554"/>
      <c r="F61" s="1808"/>
      <c r="G61" s="1808"/>
      <c r="H61" s="1810"/>
      <c r="I61" s="129"/>
      <c r="J61" s="170">
        <f>J59+1</f>
        <v>6</v>
      </c>
      <c r="K61" s="3789" t="s">
        <v>3516</v>
      </c>
      <c r="L61" s="3789"/>
      <c r="M61" s="3805"/>
      <c r="N61" s="3806">
        <f ca="1">ROUND(N59*10000/'数据-汇总表'!E3,0)</f>
        <v>25321</v>
      </c>
      <c r="O61" s="3807"/>
    </row>
    <row r="62" spans="1:35" ht="12.75">
      <c r="A62" s="3572" t="s">
        <v>1358</v>
      </c>
      <c r="B62" s="3573"/>
      <c r="C62" s="2021"/>
      <c r="D62" s="2021" t="s">
        <v>1359</v>
      </c>
      <c r="E62" s="166" t="s">
        <v>1360</v>
      </c>
      <c r="F62" s="1808"/>
      <c r="G62" s="1808"/>
      <c r="H62" s="1810"/>
      <c r="I62" s="129"/>
    </row>
    <row r="63" spans="1:35" ht="12.75">
      <c r="A63" s="173" t="s">
        <v>330</v>
      </c>
      <c r="B63" s="167" t="s">
        <v>1361</v>
      </c>
      <c r="C63" s="2539">
        <f ca="1">ROUND((C64+C65)/(1+'数据-取费表'!C42),0)</f>
        <v>2711</v>
      </c>
      <c r="D63" s="167"/>
      <c r="E63" s="168"/>
      <c r="F63" s="1808"/>
      <c r="G63" s="1808"/>
      <c r="H63" s="1810"/>
      <c r="I63" s="129"/>
      <c r="J63" s="3624" t="s">
        <v>1362</v>
      </c>
      <c r="K63" s="1332" t="s">
        <v>1363</v>
      </c>
      <c r="L63" s="1332">
        <f ca="1">IF(M49&gt;10000,M49*0.5%,IF(AND(M49&gt;1000,M49&lt;=10000),M49*1%,IF(AND(M49&gt;100,M49&lt;=1000),M49*3%,IF(AND(M49&gt;10,M49&lt;=100),M49*5%,M49*8%))))</f>
        <v>28.47</v>
      </c>
      <c r="M63" s="302">
        <f ca="1">ROUND(L63,1)</f>
        <v>28.5</v>
      </c>
      <c r="N63" s="2518"/>
      <c r="Z63" s="1752"/>
      <c r="AI63" s="1753"/>
    </row>
    <row r="64" spans="1:35" ht="14.25" customHeight="1">
      <c r="A64" s="169" t="s">
        <v>325</v>
      </c>
      <c r="B64" s="170" t="s">
        <v>1364</v>
      </c>
      <c r="C64" s="2540">
        <f ca="1">D45</f>
        <v>2847</v>
      </c>
      <c r="D64" s="170" t="s">
        <v>26</v>
      </c>
      <c r="E64" s="172"/>
      <c r="F64" s="1808"/>
      <c r="G64" s="1808"/>
      <c r="H64" s="1810"/>
      <c r="I64" s="129"/>
      <c r="J64" s="3624"/>
      <c r="K64" s="1332" t="s">
        <v>1365</v>
      </c>
      <c r="L64" s="1332">
        <f ca="1">IF(M49&gt;2000,M49*0.5%,IF(AND(M49&gt;1000,M49&lt;=2000),M49*0.6%,IF(AND(M49&gt;500,M49&lt;=1000),M49*0.7%,IF(AND(M49&gt;200,M49&lt;=500),M49*0.8%,IF(AND(M49&gt;100,M49&lt;=200),M49*0.9%,IF(AND(M49&gt;50,M49&lt;=100),M49*1%,IF(AND(M49&gt;20,M49&lt;=50),M49*1.5%,IF(AND(M49&gt;10,M49&lt;=20),M49*2%,IF(AND(M49&gt;1,M49&lt;=10),M49*2.5%)))))))))</f>
        <v>14.234999999999999</v>
      </c>
      <c r="M64" s="302">
        <f t="shared" ref="M64:M65" ca="1" si="1">ROUND(L64,1)</f>
        <v>14.2</v>
      </c>
      <c r="N64" s="2519" t="s">
        <v>1366</v>
      </c>
      <c r="Z64" s="1752"/>
      <c r="AI64" s="1753"/>
    </row>
    <row r="65" spans="1:35" ht="14.25" customHeight="1">
      <c r="A65" s="169" t="s">
        <v>326</v>
      </c>
      <c r="B65" s="170" t="s">
        <v>1367</v>
      </c>
      <c r="C65" s="2541"/>
      <c r="D65" s="170"/>
      <c r="E65" s="172"/>
      <c r="F65" s="1808"/>
      <c r="G65" s="1808"/>
      <c r="H65" s="1810"/>
      <c r="I65" s="129"/>
      <c r="J65" s="3624"/>
      <c r="K65" s="1332" t="s">
        <v>1368</v>
      </c>
      <c r="L65" s="1332">
        <f ca="1">IF(M49&gt;1000,M49*0.1%,IF(AND(M49&gt;500,M49&lt;=1000),M49*0.5%,IF(AND(M49&gt;50,M49&lt;=500),M49*1%,IF(AND(M49&gt;1,M49&lt;=50),M49*1.5%))))</f>
        <v>2.847</v>
      </c>
      <c r="M65" s="302">
        <f t="shared" ca="1" si="1"/>
        <v>2.8</v>
      </c>
      <c r="N65" s="2519" t="s">
        <v>1366</v>
      </c>
      <c r="Z65" s="1752"/>
      <c r="AI65" s="1753"/>
    </row>
    <row r="66" spans="1:35" ht="14.25" customHeight="1">
      <c r="A66" s="173" t="s">
        <v>327</v>
      </c>
      <c r="B66" s="174" t="s">
        <v>1369</v>
      </c>
      <c r="C66" s="2542">
        <f>ROUND(资料!N19/1.05,0)</f>
        <v>2954</v>
      </c>
      <c r="D66" s="174" t="s">
        <v>26</v>
      </c>
      <c r="E66" s="1338" t="s">
        <v>671</v>
      </c>
      <c r="F66" s="1808"/>
      <c r="G66" s="1808"/>
      <c r="H66" s="1810"/>
      <c r="I66" s="129"/>
      <c r="J66" s="3624"/>
      <c r="K66" s="1332" t="s">
        <v>1370</v>
      </c>
      <c r="L66" s="1332">
        <f ca="1">M49*0.5%</f>
        <v>14.234999999999999</v>
      </c>
      <c r="M66" s="302">
        <f ca="1">IF(L66&gt;0.5,0.5,ROUND(L66,0))</f>
        <v>0.5</v>
      </c>
      <c r="N66" s="2519" t="s">
        <v>1371</v>
      </c>
      <c r="Z66" s="1752"/>
      <c r="AI66" s="1753"/>
    </row>
    <row r="67" spans="1:35" ht="14.25" customHeight="1">
      <c r="A67" s="173" t="s">
        <v>328</v>
      </c>
      <c r="B67" s="174" t="s">
        <v>1372</v>
      </c>
      <c r="C67" s="2543">
        <f ca="1">C63-C66</f>
        <v>-243</v>
      </c>
      <c r="D67" s="170" t="s">
        <v>26</v>
      </c>
      <c r="E67" s="172"/>
      <c r="F67" s="1808"/>
      <c r="G67" s="1808"/>
      <c r="H67" s="1810"/>
      <c r="I67" s="129"/>
      <c r="J67" s="3624"/>
      <c r="K67" s="1332" t="s">
        <v>1373</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624"/>
      <c r="K68" s="1332" t="s">
        <v>1375</v>
      </c>
      <c r="L68" s="1332">
        <f ca="1">IF(M49&gt;10000,M49*0.5%,IF(AND(M49&gt;5000,M49&lt;=10000),M49*1%,IF(AND(M49&gt;1000,M49&lt;=5000),M49*2%,IF(AND(M49&gt;200,M49&lt;=1000),M49*3%,M49*5%))))</f>
        <v>56.94</v>
      </c>
      <c r="M68" s="302">
        <f ca="1">ROUND(L68,1)</f>
        <v>56.9</v>
      </c>
      <c r="N68" s="2518"/>
      <c r="Z68" s="1752"/>
      <c r="AI68" s="1753"/>
    </row>
    <row r="69" spans="1:35" s="1772" customFormat="1" ht="16.5" customHeight="1">
      <c r="A69" s="1811"/>
      <c r="B69" s="1812"/>
      <c r="C69" s="1813"/>
      <c r="D69" s="1814"/>
      <c r="E69" s="1815"/>
      <c r="F69" s="1578"/>
      <c r="G69" s="1578"/>
      <c r="H69" s="1577"/>
      <c r="I69" s="1747"/>
      <c r="J69" s="3624"/>
      <c r="K69" s="1332" t="s">
        <v>1376</v>
      </c>
      <c r="L69" s="1332"/>
      <c r="M69" s="302">
        <f ca="1">ROUND(SUM(M63:M68),0)</f>
        <v>105</v>
      </c>
      <c r="N69" s="2520">
        <f ca="1">M69/M49</f>
        <v>3.6880927291886197E-2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1377</v>
      </c>
      <c r="B70" s="3594"/>
      <c r="C70" s="3594"/>
      <c r="D70" s="3594"/>
      <c r="E70" s="3594"/>
      <c r="F70" s="3594"/>
      <c r="G70" s="3594"/>
      <c r="H70" s="3594"/>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2" t="s">
        <v>1358</v>
      </c>
      <c r="B71" s="3573"/>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2711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3058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3044</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资料!N19</f>
        <v>3102.16</v>
      </c>
      <c r="D75" s="170" t="s">
        <v>26</v>
      </c>
      <c r="E75" s="184" t="s">
        <v>1382</v>
      </c>
      <c r="F75" s="2547" t="s">
        <v>3488</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67" t="s">
        <v>1385</v>
      </c>
      <c r="F76" s="3541"/>
      <c r="G76" s="3541"/>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90</v>
      </c>
      <c r="D77" s="2550">
        <f>'数据-取费表'!B48+'数据-取费表'!B49</f>
        <v>3.0499999999999999E-2</v>
      </c>
      <c r="E77" s="2323" t="s">
        <v>1387</v>
      </c>
      <c r="F77" s="186"/>
      <c r="G77" s="1822" t="s">
        <v>3489</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14</v>
      </c>
      <c r="D78" s="2552">
        <f>'数据-取费表'!B43</f>
        <v>5.000000000000001E-3</v>
      </c>
      <c r="E78" s="3551" t="s">
        <v>1389</v>
      </c>
      <c r="F78" s="3552"/>
      <c r="G78" s="3552"/>
      <c r="H78" s="35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-347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3" t="s">
        <v>1393</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72" t="s">
        <v>1358</v>
      </c>
      <c r="B84" s="3573"/>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2711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14</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625" t="s">
        <v>2111</v>
      </c>
      <c r="H90" s="3626"/>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51" t="s">
        <v>1402</v>
      </c>
      <c r="F91" s="3552"/>
      <c r="G91" s="355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51" t="s">
        <v>1405</v>
      </c>
      <c r="F92" s="3552"/>
      <c r="G92" s="3552"/>
      <c r="H92" s="3561"/>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14</v>
      </c>
      <c r="D93" s="2552">
        <f>'数据-取费表'!B43</f>
        <v>5.000000000000001E-3</v>
      </c>
      <c r="E93" s="3551" t="s">
        <v>1389</v>
      </c>
      <c r="F93" s="3552"/>
      <c r="G93" s="3552"/>
      <c r="H93" s="35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562" t="s">
        <v>1409</v>
      </c>
      <c r="F94" s="3563"/>
      <c r="G94" s="3563"/>
      <c r="H94" s="35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2697</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192.64285714285714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1613</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35" t="s">
        <v>1411</v>
      </c>
      <c r="B100" s="3536"/>
      <c r="C100" s="3536"/>
      <c r="D100" s="3553"/>
      <c r="E100" s="3536" t="s">
        <v>1412</v>
      </c>
      <c r="F100" s="3536"/>
      <c r="G100" s="3536"/>
      <c r="H100" s="3553"/>
      <c r="I100" s="129"/>
    </row>
    <row r="101" spans="1:35" ht="18.75" customHeight="1">
      <c r="A101" s="3611" t="s">
        <v>1413</v>
      </c>
      <c r="B101" s="3612"/>
      <c r="C101" s="2560" t="str">
        <f>C4</f>
        <v>典型户型修正</v>
      </c>
      <c r="D101" s="2561" t="str">
        <f>D4</f>
        <v>成本法</v>
      </c>
      <c r="E101" s="3623" t="s">
        <v>1414</v>
      </c>
      <c r="F101" s="3585"/>
      <c r="G101" s="1827" t="s">
        <v>1415</v>
      </c>
      <c r="H101" s="2570">
        <f ca="1">H118</f>
        <v>2847</v>
      </c>
      <c r="I101" s="129"/>
    </row>
    <row r="102" spans="1:35" ht="18.75" customHeight="1">
      <c r="A102" s="3587" t="s">
        <v>1416</v>
      </c>
      <c r="B102" s="2559" t="s">
        <v>1415</v>
      </c>
      <c r="C102" s="2560">
        <f ca="1">IF(D32="楼面单价",ROUND(C19,0),C19)</f>
        <v>3160</v>
      </c>
      <c r="D102" s="2561">
        <f ca="1">IF(D32="楼面单价",ROUND(D19,0),D19)</f>
        <v>2117</v>
      </c>
      <c r="E102" s="3623"/>
      <c r="F102" s="3585"/>
      <c r="G102" s="1827" t="s">
        <v>1417</v>
      </c>
      <c r="H102" s="2530">
        <f ca="1">I118</f>
        <v>25331</v>
      </c>
      <c r="I102" s="129"/>
    </row>
    <row r="103" spans="1:35" ht="42.75" customHeight="1">
      <c r="A103" s="3587"/>
      <c r="B103" s="2559" t="s">
        <v>1417</v>
      </c>
      <c r="C103" s="2562">
        <f ca="1">C20</f>
        <v>28115</v>
      </c>
      <c r="D103" s="2563">
        <f ca="1">D20</f>
        <v>18835</v>
      </c>
      <c r="E103" s="3619" t="s">
        <v>1418</v>
      </c>
      <c r="F103" s="3620"/>
      <c r="G103" s="1828" t="s">
        <v>1419</v>
      </c>
      <c r="H103" s="2570">
        <f>IF(D36="正常操作",H104+H105+H106,H105+H106)</f>
        <v>0</v>
      </c>
      <c r="I103" s="129"/>
    </row>
    <row r="104" spans="1:35" ht="18.75" customHeight="1">
      <c r="A104" s="3587" t="s">
        <v>1420</v>
      </c>
      <c r="B104" s="2564" t="s">
        <v>1415</v>
      </c>
      <c r="C104" s="2565">
        <f ca="1">H118</f>
        <v>2847</v>
      </c>
      <c r="D104" s="2566"/>
      <c r="E104" s="1674" t="s">
        <v>1421</v>
      </c>
      <c r="F104" s="1666"/>
      <c r="G104" s="1828" t="s">
        <v>1419</v>
      </c>
      <c r="H104" s="2571">
        <f>IF(D36="同一抵押权人同一抵押物续贷",C36&amp;"（续贷，未扣减，详见特别提示）",C36)</f>
        <v>0</v>
      </c>
      <c r="I104" s="129"/>
    </row>
    <row r="105" spans="1:35" ht="18.75" customHeight="1" thickBot="1">
      <c r="A105" s="3588"/>
      <c r="B105" s="2567" t="s">
        <v>1417</v>
      </c>
      <c r="C105" s="2568">
        <f ca="1">I118</f>
        <v>25331</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84" t="str">
        <f>IF(项目基本情况!E8="已注销","——","3.房地产抵押价值")</f>
        <v>3.房地产抵押价值</v>
      </c>
      <c r="F107" s="3585"/>
      <c r="G107" s="1827" t="s">
        <v>1415</v>
      </c>
      <c r="H107" s="2570">
        <f ca="1">IF(E107="——","——",H101-H103)</f>
        <v>2847</v>
      </c>
      <c r="I107" s="129"/>
    </row>
    <row r="108" spans="1:35" ht="18.75" customHeight="1">
      <c r="A108" s="129"/>
      <c r="B108" s="129"/>
      <c r="C108" s="129"/>
      <c r="D108" s="129"/>
      <c r="E108" s="3584"/>
      <c r="F108" s="3585"/>
      <c r="G108" s="1827" t="s">
        <v>1417</v>
      </c>
      <c r="H108" s="2530">
        <f ca="1">IF(H107=H101,H102,ROUND(H107*10000/'数据-汇总表'!E3,0))</f>
        <v>25331</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7" t="s">
        <v>1415</v>
      </c>
      <c r="H109" s="2573" t="str">
        <f>IF(E109="——","——",H101-H105-H106)</f>
        <v>——</v>
      </c>
      <c r="I109" s="129"/>
    </row>
    <row r="110" spans="1:35" ht="18.75" customHeight="1">
      <c r="A110" s="129"/>
      <c r="B110" s="129"/>
      <c r="C110" s="129"/>
      <c r="D110" s="129"/>
      <c r="E110" s="3584"/>
      <c r="F110" s="3585"/>
      <c r="G110" s="1827" t="s">
        <v>1417</v>
      </c>
      <c r="H110" s="2530" t="str">
        <f>IF(H109="——","——",ROUND(H109*10000/'数据-汇总表'!E3,0))</f>
        <v>——</v>
      </c>
      <c r="I110" s="129"/>
    </row>
    <row r="111" spans="1:35" ht="18.75" customHeight="1">
      <c r="A111" s="129"/>
      <c r="B111" s="129"/>
      <c r="C111" s="129"/>
      <c r="D111" s="129"/>
      <c r="E111" s="3613" t="str">
        <f>IF(项目基本情况!E9="抵押净值",IF(OR(项目基本情况!E8="已注销",项目基本情况!E8="房地产抵押价值"),"4.抵押净值","5.抵押净值"),"——")</f>
        <v>4.抵押净值</v>
      </c>
      <c r="F111" s="3586"/>
      <c r="G111" s="1827" t="s">
        <v>1415</v>
      </c>
      <c r="H111" s="2570">
        <f ca="1">IF(E111="——","——",N59)</f>
        <v>2846</v>
      </c>
      <c r="I111" s="129"/>
    </row>
    <row r="112" spans="1:35" ht="18.75" customHeight="1" thickBot="1">
      <c r="A112" s="129"/>
      <c r="B112" s="129"/>
      <c r="C112" s="129"/>
      <c r="D112" s="129"/>
      <c r="E112" s="3614"/>
      <c r="F112" s="3615"/>
      <c r="G112" s="1830" t="s">
        <v>1417</v>
      </c>
      <c r="H112" s="2574">
        <f ca="1">IF(E111="——","——",N61)</f>
        <v>25321</v>
      </c>
      <c r="I112" s="129"/>
    </row>
    <row r="113" spans="1:27" ht="18.75" customHeight="1">
      <c r="A113" s="129"/>
      <c r="B113" s="129"/>
      <c r="C113" s="129"/>
      <c r="D113" s="129"/>
      <c r="E113" s="3589" t="s">
        <v>1423</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9" t="s">
        <v>1425</v>
      </c>
      <c r="B115" s="3600"/>
      <c r="C115" s="3600"/>
      <c r="D115" s="3600"/>
      <c r="E115" s="3600"/>
      <c r="F115" s="3600"/>
      <c r="G115" s="3600"/>
      <c r="H115" s="3600"/>
      <c r="I115" s="3601"/>
    </row>
    <row r="116" spans="1:27" ht="27" customHeight="1">
      <c r="A116" s="3555" t="s">
        <v>1426</v>
      </c>
      <c r="B116" s="3590" t="s">
        <v>1427</v>
      </c>
      <c r="C116" s="3590" t="s">
        <v>1428</v>
      </c>
      <c r="D116" s="3603" t="s">
        <v>1429</v>
      </c>
      <c r="E116" s="3604"/>
      <c r="F116" s="3598" t="s">
        <v>1430</v>
      </c>
      <c r="G116" s="3598"/>
      <c r="H116" s="3555" t="s">
        <v>1431</v>
      </c>
      <c r="I116" s="3555"/>
    </row>
    <row r="117" spans="1:27" ht="18.75" customHeight="1">
      <c r="A117" s="3555"/>
      <c r="B117" s="3591"/>
      <c r="C117" s="3591"/>
      <c r="D117" s="2328" t="s">
        <v>1432</v>
      </c>
      <c r="E117" s="2328" t="s">
        <v>1433</v>
      </c>
      <c r="F117" s="2328" t="s">
        <v>1432</v>
      </c>
      <c r="G117" s="2328" t="s">
        <v>1434</v>
      </c>
      <c r="H117" s="2328" t="s">
        <v>1432</v>
      </c>
      <c r="I117" s="2328" t="s">
        <v>1434</v>
      </c>
    </row>
    <row r="118" spans="1:27" ht="24.75" customHeight="1">
      <c r="A118" s="2575" t="str">
        <f>项目基本情况!S2</f>
        <v>北京市陈庄子路3号院4号楼3层301房地产</v>
      </c>
      <c r="B118" s="2328">
        <f>M18</f>
        <v>1123.97</v>
      </c>
      <c r="C118" s="2328">
        <f>M19</f>
        <v>0</v>
      </c>
      <c r="D118" s="2328">
        <f ca="1">ROUND(IF(D32="总价",C34,E118*B118/10000),0)</f>
        <v>2218</v>
      </c>
      <c r="E118" s="2328">
        <f ca="1">ROUND(IF(C33="自定义",IF(D32="楼面单价",C34,D118*10000/B118),I118-G118),0)</f>
        <v>19733</v>
      </c>
      <c r="F118" s="2328">
        <f ca="1">ROUND(IF(D32="总价",C35,G118*B118/10000),0)</f>
        <v>629</v>
      </c>
      <c r="G118" s="2328">
        <f ca="1">ROUND(IF(D32="楼面单价",C35,F118*10000/B118),0)</f>
        <v>5598</v>
      </c>
      <c r="H118" s="2328">
        <f ca="1">ROUND(IF(D32="总价",C32,I118*B118/10000),0)</f>
        <v>2847</v>
      </c>
      <c r="I118" s="2328">
        <f ca="1">ROUND(IF(D32="楼面单价",C32,H118*10000/B118),0)</f>
        <v>25331</v>
      </c>
    </row>
    <row r="119" spans="1:27" ht="18.75" customHeight="1">
      <c r="A119" s="3555" t="s">
        <v>1435</v>
      </c>
      <c r="B119" s="3555"/>
      <c r="C119" s="3555"/>
      <c r="D119" s="3595" t="str">
        <f ca="1">NUMBERSTRING(INT(D118*10000),2)&amp;"元整"</f>
        <v>贰仟贰佰壹拾捌万元整</v>
      </c>
      <c r="E119" s="3597"/>
      <c r="F119" s="3595" t="str">
        <f ca="1">NUMBERSTRING(INT(F118*10000),2)&amp;"元整"</f>
        <v>陆佰贰拾玖万元整</v>
      </c>
      <c r="G119" s="3597"/>
      <c r="H119" s="3595" t="str">
        <f ca="1">NUMBERSTRING(INT(H118*10000),2)&amp;"元整"</f>
        <v>贰仟捌佰肆拾柒万元整</v>
      </c>
      <c r="I119" s="3597"/>
    </row>
    <row r="120" spans="1:27" ht="18.75" customHeight="1">
      <c r="A120" s="3616" t="str">
        <f>IF(项目基本情况!B9="房地产市场价值","",MID(E103,3,LEN(E103)-2))</f>
        <v/>
      </c>
      <c r="B120" s="3617"/>
      <c r="C120" s="3618"/>
      <c r="D120" s="3616">
        <f>H103</f>
        <v>0</v>
      </c>
      <c r="E120" s="3617"/>
      <c r="F120" s="3617"/>
      <c r="G120" s="3617"/>
      <c r="H120" s="3617"/>
      <c r="I120" s="361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95" t="s">
        <v>1435</v>
      </c>
      <c r="B121" s="3596"/>
      <c r="C121" s="3597"/>
      <c r="D121" s="3595" t="str">
        <f>IF(D120=0,"零元整",NUMBERSTRING(INT(D120*10000),2)&amp;"元整")</f>
        <v>零元整</v>
      </c>
      <c r="E121" s="3596"/>
      <c r="F121" s="3596"/>
      <c r="G121" s="3596"/>
      <c r="H121" s="3596"/>
      <c r="I121" s="3597"/>
      <c r="AA121" s="725"/>
    </row>
    <row r="122" spans="1:27" ht="18.75" customHeight="1">
      <c r="A122" s="3586" t="str">
        <f>IF(项目基本情况!B9="房地产市场价值","",MID(E107,3,LEN(E107)-2))</f>
        <v/>
      </c>
      <c r="B122" s="3586"/>
      <c r="C122" s="3586"/>
      <c r="D122" s="3616">
        <f ca="1">H107</f>
        <v>2847</v>
      </c>
      <c r="E122" s="3617"/>
      <c r="F122" s="3617"/>
      <c r="G122" s="3617"/>
      <c r="H122" s="3617"/>
      <c r="I122" s="3618"/>
      <c r="AA122" s="725"/>
    </row>
    <row r="123" spans="1:27" ht="18.75" customHeight="1">
      <c r="A123" s="3555" t="s">
        <v>1435</v>
      </c>
      <c r="B123" s="3555"/>
      <c r="C123" s="3555"/>
      <c r="D123" s="3595" t="str">
        <f ca="1">NUMBERSTRING(INT(D122*10000),2)&amp;"元整"</f>
        <v>贰仟捌佰肆拾柒万元整</v>
      </c>
      <c r="E123" s="3596"/>
      <c r="F123" s="3596"/>
      <c r="G123" s="3596"/>
      <c r="H123" s="3596"/>
      <c r="I123" s="3597"/>
      <c r="AA123" s="725"/>
    </row>
    <row r="124" spans="1:27" ht="18.75" customHeight="1">
      <c r="A124" s="3586" t="str">
        <f>IF(项目基本情况!B9="房地产市场价值","",MID(E109,3,LEN(E109)-2))</f>
        <v/>
      </c>
      <c r="B124" s="3586"/>
      <c r="C124" s="3586"/>
      <c r="D124" s="3616" t="str">
        <f>H109</f>
        <v>——</v>
      </c>
      <c r="E124" s="3617"/>
      <c r="F124" s="3617"/>
      <c r="G124" s="3617"/>
      <c r="H124" s="3617"/>
      <c r="I124" s="3618"/>
      <c r="AA124" s="725"/>
    </row>
    <row r="125" spans="1:27" ht="18.75" customHeight="1">
      <c r="A125" s="3555" t="s">
        <v>1435</v>
      </c>
      <c r="B125" s="3555"/>
      <c r="C125" s="3555"/>
      <c r="D125" s="3595" t="e">
        <f>NUMBERSTRING(INT(D124*10000),2)&amp;"元整"</f>
        <v>#VALUE!</v>
      </c>
      <c r="E125" s="3596"/>
      <c r="F125" s="3596"/>
      <c r="G125" s="3596"/>
      <c r="H125" s="3596"/>
      <c r="I125" s="3597"/>
      <c r="AA125" s="725"/>
    </row>
    <row r="126" spans="1:27" ht="18.75" customHeight="1">
      <c r="A126" s="3586" t="str">
        <f>IF(项目基本情况!B9="房地产市场价值","",MID(E111,3,LEN(E111)-2))</f>
        <v/>
      </c>
      <c r="B126" s="3586"/>
      <c r="C126" s="3586"/>
      <c r="D126" s="3616">
        <f ca="1">H111</f>
        <v>2846</v>
      </c>
      <c r="E126" s="3617"/>
      <c r="F126" s="3617"/>
      <c r="G126" s="3617"/>
      <c r="H126" s="3617"/>
      <c r="I126" s="3618"/>
      <c r="AA126" s="725"/>
    </row>
    <row r="127" spans="1:27" ht="18.75" customHeight="1">
      <c r="A127" s="3555" t="s">
        <v>1435</v>
      </c>
      <c r="B127" s="3555"/>
      <c r="C127" s="3555"/>
      <c r="D127" s="3595" t="str">
        <f ca="1">NUMBERSTRING(INT(D126*10000),2)&amp;"元整"</f>
        <v>贰仟捌佰肆拾陆万元整</v>
      </c>
      <c r="E127" s="3596"/>
      <c r="F127" s="3596"/>
      <c r="G127" s="3596"/>
      <c r="H127" s="3596"/>
      <c r="I127" s="3597"/>
      <c r="AA127" s="725"/>
    </row>
    <row r="128" spans="1:27" ht="21.75" customHeight="1">
      <c r="A128" s="3602" t="s">
        <v>1436</v>
      </c>
      <c r="B128" s="3602"/>
      <c r="C128" s="3602"/>
      <c r="D128" s="3602"/>
      <c r="E128" s="3602"/>
      <c r="F128" s="3602"/>
      <c r="G128" s="3602"/>
      <c r="H128" s="3602"/>
      <c r="I128" s="3602"/>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30" t="s">
        <v>2067</v>
      </c>
      <c r="D1" s="3631"/>
      <c r="E1" s="3631"/>
      <c r="F1" s="3631"/>
      <c r="G1" s="3631"/>
      <c r="H1" s="3631"/>
      <c r="I1" s="3631"/>
      <c r="J1" s="3631"/>
      <c r="K1" s="3631"/>
      <c r="L1" s="3631"/>
      <c r="M1" s="3631"/>
      <c r="N1" s="3631"/>
      <c r="O1" s="3631"/>
      <c r="P1" s="3631"/>
      <c r="Q1" s="3631"/>
      <c r="R1" s="3631"/>
      <c r="S1" s="3632"/>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3492</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3160</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28115</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1123.97</v>
      </c>
      <c r="C22" s="3627" t="s">
        <v>27</v>
      </c>
      <c r="D22" s="3628"/>
      <c r="E22" s="3628"/>
      <c r="F22" s="3628"/>
      <c r="G22" s="3628"/>
      <c r="H22" s="3628"/>
      <c r="I22" s="3628"/>
      <c r="J22" s="3628"/>
      <c r="K22" s="3628"/>
      <c r="L22" s="3628"/>
      <c r="M22" s="3628"/>
      <c r="N22" s="3628"/>
      <c r="O22" s="3628"/>
      <c r="P22" s="3628"/>
      <c r="Q22" s="3629"/>
      <c r="R22" s="663">
        <f>R25</f>
        <v>28115</v>
      </c>
      <c r="S22" s="21">
        <f>SUM(S24:S10000)</f>
        <v>3160</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3491</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46858</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3503</v>
      </c>
      <c r="B25" s="54">
        <f>'数据-汇总表'!F27</f>
        <v>1123.97</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3</v>
      </c>
      <c r="Q25" s="21">
        <f>(SUMIF($17:$17,P25,$18:$18)-SUMIF($17:$17,$P$24,$18:$18)+100)/100</f>
        <v>0.6</v>
      </c>
      <c r="R25" s="663">
        <f>IF(B25="",0,ROUND($R$24*C25*E25*G25*I25*K25*M25*O25*Q25,0))</f>
        <v>28115</v>
      </c>
      <c r="S25" s="316">
        <f t="shared" si="11"/>
        <v>3160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2" t="str">
        <f>项目基本情况!B1</f>
        <v>北京市陈庄子路3号院4号楼3层301房地产市场价值预评估</v>
      </c>
      <c r="C37" s="3452"/>
      <c r="D37" s="3452"/>
      <c r="E37" s="3452"/>
      <c r="F37" s="3452"/>
      <c r="G37" s="3452"/>
      <c r="H37" s="3452"/>
      <c r="I37" s="3452"/>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C49" sqref="C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3499</v>
      </c>
      <c r="E1" s="3402" t="s">
        <v>3482</v>
      </c>
      <c r="F1" s="1879" t="s">
        <v>3480</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5267</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46858</v>
      </c>
      <c r="C3" s="354" t="s">
        <v>1751</v>
      </c>
      <c r="D3" s="353">
        <f>IF(D1="",'数据-汇总表'!E3,SUMIF('数据-汇总表'!$C19:$C33,D1,'数据-汇总表'!$E19:$E33))</f>
        <v>1123.97</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62" t="s">
        <v>1754</v>
      </c>
      <c r="S4" s="3663"/>
      <c r="T4" s="3662" t="s">
        <v>1755</v>
      </c>
      <c r="U4" s="3663"/>
      <c r="V4" s="3647" t="s">
        <v>1756</v>
      </c>
      <c r="W4" s="3647"/>
      <c r="X4" s="1355"/>
      <c r="Y4" s="3662" t="s">
        <v>1758</v>
      </c>
      <c r="Z4" s="3663"/>
      <c r="AA4" s="3649" t="s">
        <v>1754</v>
      </c>
      <c r="AB4" s="3647" t="s">
        <v>1755</v>
      </c>
      <c r="AC4" s="3649" t="s">
        <v>1756</v>
      </c>
    </row>
    <row r="5" spans="1:29" ht="15">
      <c r="A5" s="358"/>
      <c r="B5" s="359"/>
      <c r="C5" s="3675" t="s">
        <v>3416</v>
      </c>
      <c r="D5" s="3671"/>
      <c r="E5" s="3678" t="str">
        <f>案例!K2</f>
        <v>波普公社</v>
      </c>
      <c r="F5" s="3679"/>
      <c r="G5" s="3670" t="str">
        <f>案例!K3</f>
        <v>彩虹新城</v>
      </c>
      <c r="H5" s="3671"/>
      <c r="I5" s="3670" t="str">
        <f>案例!K4</f>
        <v>天健广场</v>
      </c>
      <c r="J5" s="3671"/>
      <c r="K5" s="559"/>
      <c r="L5" s="2690"/>
      <c r="M5" s="2691"/>
      <c r="N5" s="2691"/>
      <c r="O5" s="2691"/>
      <c r="P5" s="3658"/>
      <c r="Q5" s="3659"/>
      <c r="R5" s="3664"/>
      <c r="S5" s="3665"/>
      <c r="T5" s="3664"/>
      <c r="U5" s="3665"/>
      <c r="V5" s="3647"/>
      <c r="W5" s="3647"/>
      <c r="X5" s="1355"/>
      <c r="Y5" s="3664"/>
      <c r="Z5" s="3665"/>
      <c r="AA5" s="3650"/>
      <c r="AB5" s="3647"/>
      <c r="AC5" s="3650"/>
    </row>
    <row r="6" spans="1:29" ht="15.75" thickBot="1">
      <c r="A6" s="360"/>
      <c r="B6" s="361"/>
      <c r="C6" s="3668" t="s">
        <v>3417</v>
      </c>
      <c r="D6" s="3669"/>
      <c r="E6" s="3676" t="s">
        <v>3418</v>
      </c>
      <c r="F6" s="3677"/>
      <c r="G6" s="3668" t="s">
        <v>3419</v>
      </c>
      <c r="H6" s="3669"/>
      <c r="I6" s="3668" t="s">
        <v>3419</v>
      </c>
      <c r="J6" s="3669"/>
      <c r="K6" s="559" t="s">
        <v>1661</v>
      </c>
      <c r="L6" s="2690"/>
      <c r="M6" s="2691"/>
      <c r="N6" s="2691"/>
      <c r="O6" s="2691"/>
      <c r="P6" s="3660"/>
      <c r="Q6" s="3661"/>
      <c r="R6" s="3664"/>
      <c r="S6" s="3665"/>
      <c r="T6" s="3666"/>
      <c r="U6" s="3667"/>
      <c r="V6" s="3647"/>
      <c r="W6" s="3647"/>
      <c r="X6" s="1355"/>
      <c r="Y6" s="3666"/>
      <c r="Z6" s="3667"/>
      <c r="AA6" s="3651"/>
      <c r="AB6" s="3647"/>
      <c r="AC6" s="3651"/>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72" t="s">
        <v>1663</v>
      </c>
      <c r="Q7" s="3674"/>
      <c r="R7" s="701" t="s">
        <v>14</v>
      </c>
      <c r="S7" s="702">
        <f t="shared" ref="S7:S15" si="0">F7</f>
        <v>100</v>
      </c>
      <c r="T7" s="701" t="s">
        <v>14</v>
      </c>
      <c r="U7" s="702">
        <f t="shared" ref="U7:U15" si="1">H7</f>
        <v>100</v>
      </c>
      <c r="V7" s="701" t="s">
        <v>14</v>
      </c>
      <c r="W7" s="702">
        <f t="shared" ref="W7:W15" si="2">J7</f>
        <v>100</v>
      </c>
      <c r="X7" s="703"/>
      <c r="Y7" s="3672" t="s">
        <v>1663</v>
      </c>
      <c r="Z7" s="3673"/>
      <c r="AA7" s="704">
        <f>D7/F7</f>
        <v>1</v>
      </c>
      <c r="AB7" s="704">
        <f>D7/H7</f>
        <v>1</v>
      </c>
      <c r="AC7" s="704">
        <f>D7/J7</f>
        <v>1</v>
      </c>
    </row>
    <row r="8" spans="1:29" s="108" customFormat="1" ht="15.75" thickBot="1">
      <c r="A8" s="362" t="s">
        <v>1664</v>
      </c>
      <c r="B8" s="363"/>
      <c r="C8" s="368" t="s">
        <v>3420</v>
      </c>
      <c r="D8" s="365">
        <v>100</v>
      </c>
      <c r="E8" s="368" t="s">
        <v>3420</v>
      </c>
      <c r="F8" s="367">
        <f>SUMIF(61:61,E8,62:62)-SUMIF(61:61,C8,62:62)+100</f>
        <v>100</v>
      </c>
      <c r="G8" s="368" t="s">
        <v>3420</v>
      </c>
      <c r="H8" s="365">
        <f>SUMIF(61:61,G8,62:62)-SUMIF(61:61,C8,62:62)+100</f>
        <v>100</v>
      </c>
      <c r="I8" s="368" t="s">
        <v>3420</v>
      </c>
      <c r="J8" s="365">
        <f>SUMIF(61:61,I8,62:62)-SUMIF(61:61,C8,62:62)+100</f>
        <v>100</v>
      </c>
      <c r="K8" s="560"/>
      <c r="L8" s="2692"/>
      <c r="M8" s="2693"/>
      <c r="N8" s="2693"/>
      <c r="O8" s="2693"/>
      <c r="P8" s="3672" t="s">
        <v>1666</v>
      </c>
      <c r="Q8" s="3673"/>
      <c r="R8" s="701" t="s">
        <v>14</v>
      </c>
      <c r="S8" s="702">
        <f t="shared" si="0"/>
        <v>100</v>
      </c>
      <c r="T8" s="701" t="s">
        <v>14</v>
      </c>
      <c r="U8" s="702">
        <f t="shared" si="1"/>
        <v>100</v>
      </c>
      <c r="V8" s="701" t="s">
        <v>14</v>
      </c>
      <c r="W8" s="702">
        <f t="shared" si="2"/>
        <v>100</v>
      </c>
      <c r="X8" s="703"/>
      <c r="Y8" s="3672" t="s">
        <v>1666</v>
      </c>
      <c r="Z8" s="3673"/>
      <c r="AA8" s="704">
        <f t="shared" ref="AA8:AA46" si="3">D8/F8</f>
        <v>1</v>
      </c>
      <c r="AB8" s="704">
        <f t="shared" ref="AB8:AB46" si="4">D8/H8</f>
        <v>1</v>
      </c>
      <c r="AC8" s="704">
        <f t="shared" ref="AC8:AC46" si="5">D8/J8</f>
        <v>1</v>
      </c>
    </row>
    <row r="9" spans="1:29" s="108" customFormat="1">
      <c r="A9" s="369" t="s">
        <v>1667</v>
      </c>
      <c r="B9" s="63" t="s">
        <v>1668</v>
      </c>
      <c r="C9" s="3438" t="s">
        <v>3421</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48"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10" t="s">
        <v>3475</v>
      </c>
      <c r="D10" s="127">
        <v>100</v>
      </c>
      <c r="E10" s="3411" t="s">
        <v>3473</v>
      </c>
      <c r="F10" s="376">
        <f>SUMIF(65:65,E10,66:66)-SUMIF(65:65,C10,66:66)+100</f>
        <v>95</v>
      </c>
      <c r="G10" s="3410" t="s">
        <v>3472</v>
      </c>
      <c r="H10" s="127">
        <f>SUMIF(65:65,G10,66:66)-SUMIF(65:65,C10,66:66)+100</f>
        <v>95</v>
      </c>
      <c r="I10" s="3410" t="s">
        <v>3474</v>
      </c>
      <c r="J10" s="127">
        <f>SUMIF(65:65,I10,66:66)-SUMIF(65:65,C10,66:66)+100</f>
        <v>100</v>
      </c>
      <c r="K10" s="560"/>
      <c r="L10" s="2694"/>
      <c r="M10" s="2695"/>
      <c r="N10" s="2695"/>
      <c r="O10" s="2695"/>
      <c r="P10" s="3648"/>
      <c r="Q10" s="1343" t="str">
        <f t="shared" si="6"/>
        <v>土地使用年限（年）</v>
      </c>
      <c r="R10" s="701" t="s">
        <v>14</v>
      </c>
      <c r="S10" s="702">
        <f t="shared" si="0"/>
        <v>95</v>
      </c>
      <c r="T10" s="701" t="s">
        <v>14</v>
      </c>
      <c r="U10" s="702">
        <f t="shared" si="1"/>
        <v>95</v>
      </c>
      <c r="V10" s="701" t="s">
        <v>14</v>
      </c>
      <c r="W10" s="702">
        <f t="shared" si="2"/>
        <v>100</v>
      </c>
      <c r="X10" s="703"/>
      <c r="Y10" s="3542"/>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48"/>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48"/>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48"/>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48"/>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3380</v>
      </c>
      <c r="F15" s="394">
        <f>SUMIF(76:76,E16,77:77)-SUMIF(76:76,C16,77:77)+100</f>
        <v>100</v>
      </c>
      <c r="G15" s="393" t="s">
        <v>3380</v>
      </c>
      <c r="H15" s="392">
        <f>SUMIF(76:76,G16,77:77)-SUMIF(76:76,C16,77:77)+100</f>
        <v>100</v>
      </c>
      <c r="I15" s="393" t="s">
        <v>3380</v>
      </c>
      <c r="J15" s="392">
        <f>SUMIF(76:76,I16,77:77)-SUMIF(76:76,C16,77:77)+100</f>
        <v>100</v>
      </c>
      <c r="K15" s="563">
        <v>2</v>
      </c>
      <c r="L15" s="2697"/>
      <c r="M15" s="2691"/>
      <c r="N15" s="2691"/>
      <c r="O15" s="2691"/>
      <c r="P15" s="3638" t="s">
        <v>1674</v>
      </c>
      <c r="Q15" s="1352" t="str">
        <f t="shared" si="6"/>
        <v>商业繁华度</v>
      </c>
      <c r="R15" s="705" t="s">
        <v>14</v>
      </c>
      <c r="S15" s="706">
        <f t="shared" si="0"/>
        <v>100</v>
      </c>
      <c r="T15" s="705" t="s">
        <v>14</v>
      </c>
      <c r="U15" s="706">
        <f t="shared" si="1"/>
        <v>100</v>
      </c>
      <c r="V15" s="705" t="s">
        <v>14</v>
      </c>
      <c r="W15" s="706">
        <f t="shared" si="2"/>
        <v>100</v>
      </c>
      <c r="X15" s="1355"/>
      <c r="Y15" s="3640" t="s">
        <v>1674</v>
      </c>
      <c r="Z15" s="1356" t="str">
        <f t="shared" si="7"/>
        <v>商业繁华度</v>
      </c>
      <c r="AA15" s="1353">
        <f t="shared" si="3"/>
        <v>1</v>
      </c>
      <c r="AB15" s="1353">
        <f t="shared" si="4"/>
        <v>1</v>
      </c>
      <c r="AC15" s="1353">
        <f t="shared" si="5"/>
        <v>1</v>
      </c>
    </row>
    <row r="16" spans="1:29" ht="15">
      <c r="A16" s="379"/>
      <c r="B16" s="397"/>
      <c r="C16" s="398" t="s">
        <v>3380</v>
      </c>
      <c r="D16" s="399"/>
      <c r="E16" s="398" t="s">
        <v>3380</v>
      </c>
      <c r="F16" s="400"/>
      <c r="G16" s="398" t="s">
        <v>3380</v>
      </c>
      <c r="H16" s="401"/>
      <c r="I16" s="398" t="s">
        <v>3380</v>
      </c>
      <c r="J16" s="399"/>
      <c r="K16" s="564"/>
      <c r="L16" s="2697"/>
      <c r="M16" s="2691"/>
      <c r="N16" s="2691"/>
      <c r="O16" s="2691"/>
      <c r="P16" s="3639"/>
      <c r="Q16" s="1352"/>
      <c r="R16" s="705"/>
      <c r="S16" s="706"/>
      <c r="T16" s="705"/>
      <c r="U16" s="706"/>
      <c r="V16" s="705"/>
      <c r="W16" s="706"/>
      <c r="X16" s="1355"/>
      <c r="Y16" s="3641"/>
      <c r="Z16" s="1356"/>
      <c r="AA16" s="1353">
        <v>1</v>
      </c>
      <c r="AB16" s="1353">
        <v>1</v>
      </c>
      <c r="AC16" s="1353">
        <v>1</v>
      </c>
    </row>
    <row r="17" spans="1:29" ht="15">
      <c r="A17" s="379"/>
      <c r="B17" s="402" t="s">
        <v>1258</v>
      </c>
      <c r="C17" s="1900" t="str">
        <f>估价对象房地状况!C6</f>
        <v>一般</v>
      </c>
      <c r="D17" s="401">
        <v>100</v>
      </c>
      <c r="E17" s="403" t="s">
        <v>3380</v>
      </c>
      <c r="F17" s="404">
        <f>SUMIF(78:78,E18,79:79)-SUMIF(78:78,C18,79:79)+100</f>
        <v>100</v>
      </c>
      <c r="G17" s="403" t="s">
        <v>3380</v>
      </c>
      <c r="H17" s="406">
        <f>SUMIF(78:78,G18,79:79)-SUMIF(78:78,C18,79:79)+100</f>
        <v>100</v>
      </c>
      <c r="I17" s="403" t="s">
        <v>3380</v>
      </c>
      <c r="J17" s="406">
        <f>SUMIF(78:78,I18,79:79)-SUMIF(78:78,C18,79:79)+100</f>
        <v>100</v>
      </c>
      <c r="K17" s="563">
        <v>2</v>
      </c>
      <c r="L17" s="2697"/>
      <c r="M17" s="2691"/>
      <c r="N17" s="2691"/>
      <c r="O17" s="2691"/>
      <c r="P17" s="3639"/>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407"/>
      <c r="C18" s="1901" t="s">
        <v>3380</v>
      </c>
      <c r="D18" s="401"/>
      <c r="E18" s="1903" t="s">
        <v>3380</v>
      </c>
      <c r="F18" s="404"/>
      <c r="G18" s="1903" t="s">
        <v>3380</v>
      </c>
      <c r="H18" s="399"/>
      <c r="I18" s="1903" t="s">
        <v>3380</v>
      </c>
      <c r="J18" s="399"/>
      <c r="K18" s="564"/>
      <c r="L18" s="2697"/>
      <c r="M18" s="2691"/>
      <c r="N18" s="2691"/>
      <c r="O18" s="2691"/>
      <c r="P18" s="3639"/>
      <c r="Q18" s="1352"/>
      <c r="R18" s="705"/>
      <c r="S18" s="706"/>
      <c r="T18" s="705"/>
      <c r="U18" s="706"/>
      <c r="V18" s="705"/>
      <c r="W18" s="706"/>
      <c r="X18" s="1355"/>
      <c r="Y18" s="3641"/>
      <c r="Z18" s="1356"/>
      <c r="AA18" s="1353">
        <v>1</v>
      </c>
      <c r="AB18" s="1353">
        <v>1</v>
      </c>
      <c r="AC18" s="1353">
        <v>1</v>
      </c>
    </row>
    <row r="19" spans="1:29" ht="15">
      <c r="A19" s="379"/>
      <c r="B19" s="402" t="s">
        <v>1761</v>
      </c>
      <c r="C19" s="1900" t="str">
        <f>估价对象房地状况!C7</f>
        <v>一般</v>
      </c>
      <c r="D19" s="406">
        <v>100</v>
      </c>
      <c r="E19" s="408" t="s">
        <v>3380</v>
      </c>
      <c r="F19" s="409">
        <f>SUMIF(80:80,E20,81:81)-SUMIF(80:80,C20,81:81)+100</f>
        <v>100</v>
      </c>
      <c r="G19" s="408" t="s">
        <v>3380</v>
      </c>
      <c r="H19" s="401">
        <f>SUMIF(80:80,G20,81:81)-SUMIF(80:80,C20,81:81)+100</f>
        <v>100</v>
      </c>
      <c r="I19" s="408" t="s">
        <v>3380</v>
      </c>
      <c r="J19" s="401">
        <f>SUMIF(80:80,I20,81:81)-SUMIF(80:80,C20,81:81)+100</f>
        <v>100</v>
      </c>
      <c r="K19" s="563">
        <v>2</v>
      </c>
      <c r="L19" s="2697"/>
      <c r="M19" s="2691"/>
      <c r="N19" s="2691"/>
      <c r="O19" s="2691"/>
      <c r="P19" s="3639"/>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353">
        <f t="shared" si="5"/>
        <v>1</v>
      </c>
    </row>
    <row r="20" spans="1:29" ht="15">
      <c r="A20" s="379"/>
      <c r="B20" s="407"/>
      <c r="C20" s="398" t="s">
        <v>3380</v>
      </c>
      <c r="D20" s="399"/>
      <c r="E20" s="1898" t="s">
        <v>3380</v>
      </c>
      <c r="F20" s="400"/>
      <c r="G20" s="1898" t="s">
        <v>3380</v>
      </c>
      <c r="H20" s="399"/>
      <c r="I20" s="1898" t="s">
        <v>3380</v>
      </c>
      <c r="J20" s="399"/>
      <c r="K20" s="564"/>
      <c r="L20" s="2697"/>
      <c r="M20" s="2691"/>
      <c r="N20" s="2691"/>
      <c r="O20" s="2691"/>
      <c r="P20" s="3639"/>
      <c r="Q20" s="1352"/>
      <c r="R20" s="705"/>
      <c r="S20" s="706"/>
      <c r="T20" s="705"/>
      <c r="U20" s="706"/>
      <c r="V20" s="705"/>
      <c r="W20" s="706"/>
      <c r="X20" s="1355"/>
      <c r="Y20" s="3641"/>
      <c r="Z20" s="1356"/>
      <c r="AA20" s="1353">
        <v>1</v>
      </c>
      <c r="AB20" s="1353">
        <v>1</v>
      </c>
      <c r="AC20" s="1353">
        <v>1</v>
      </c>
    </row>
    <row r="21" spans="1:29" ht="15">
      <c r="A21" s="379"/>
      <c r="B21" s="1131" t="s">
        <v>1762</v>
      </c>
      <c r="C21" s="1900" t="str">
        <f>估价对象房地状况!C8</f>
        <v>七通</v>
      </c>
      <c r="D21" s="406">
        <v>100</v>
      </c>
      <c r="E21" s="408" t="s">
        <v>3476</v>
      </c>
      <c r="F21" s="409">
        <f>SUMIF(82:82,E22,83:83)-SUMIF(82:82,C22,83:83)+100</f>
        <v>100</v>
      </c>
      <c r="G21" s="408" t="s">
        <v>3476</v>
      </c>
      <c r="H21" s="401">
        <f>SUMIF(82:82,G22,83:83)-SUMIF(82:82,C22,83:83)+100</f>
        <v>100</v>
      </c>
      <c r="I21" s="408" t="s">
        <v>3476</v>
      </c>
      <c r="J21" s="401">
        <f>SUMIF(82:82,I22,83:83)-SUMIF(82:82,C22,83:83)+100</f>
        <v>100</v>
      </c>
      <c r="K21" s="563">
        <v>1</v>
      </c>
      <c r="L21" s="2697"/>
      <c r="M21" s="2691"/>
      <c r="N21" s="2691"/>
      <c r="O21" s="2691"/>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t="s">
        <v>3476</v>
      </c>
      <c r="D22" s="399"/>
      <c r="E22" s="398" t="s">
        <v>3476</v>
      </c>
      <c r="F22" s="400"/>
      <c r="G22" s="398" t="s">
        <v>3476</v>
      </c>
      <c r="H22" s="399"/>
      <c r="I22" s="398" t="s">
        <v>3476</v>
      </c>
      <c r="J22" s="399"/>
      <c r="K22" s="1130"/>
      <c r="L22" s="2697"/>
      <c r="M22" s="2691"/>
      <c r="N22" s="2691"/>
      <c r="O22" s="2691"/>
      <c r="P22" s="3639"/>
      <c r="Q22" s="1352"/>
      <c r="R22" s="705"/>
      <c r="S22" s="706"/>
      <c r="T22" s="705"/>
      <c r="U22" s="706"/>
      <c r="V22" s="705"/>
      <c r="W22" s="706"/>
      <c r="X22" s="1355"/>
      <c r="Y22" s="3641"/>
      <c r="Z22" s="1356"/>
      <c r="AA22" s="1353">
        <v>1</v>
      </c>
      <c r="AB22" s="1353">
        <v>1</v>
      </c>
      <c r="AC22" s="1353">
        <v>1</v>
      </c>
    </row>
    <row r="23" spans="1:29" ht="15">
      <c r="A23" s="379"/>
      <c r="B23" s="402" t="s">
        <v>1260</v>
      </c>
      <c r="C23" s="1955" t="str">
        <f>估价对象房地状况!C9</f>
        <v>较好</v>
      </c>
      <c r="D23" s="401">
        <v>100</v>
      </c>
      <c r="E23" s="403" t="s">
        <v>3385</v>
      </c>
      <c r="F23" s="404">
        <f>SUMIF(84:84,E24,85:85)-SUMIF(84:84,C24,85:85)+100</f>
        <v>100</v>
      </c>
      <c r="G23" s="403" t="s">
        <v>3385</v>
      </c>
      <c r="H23" s="401">
        <f>SUMIF(84:84,G24,85:85)-SUMIF(84:84,C24,85:85)+100</f>
        <v>100</v>
      </c>
      <c r="I23" s="403" t="s">
        <v>3385</v>
      </c>
      <c r="J23" s="401">
        <f>SUMIF(84:84,I24,85:85)-SUMIF(84:84,C24,85:85)+100</f>
        <v>100</v>
      </c>
      <c r="K23" s="563">
        <v>2</v>
      </c>
      <c r="L23" s="2697"/>
      <c r="M23" s="2691"/>
      <c r="N23" s="2691"/>
      <c r="O23" s="2691"/>
      <c r="P23" s="3639"/>
      <c r="Q23" s="1352" t="str">
        <f>B23</f>
        <v>自然及人文环境</v>
      </c>
      <c r="R23" s="705" t="s">
        <v>14</v>
      </c>
      <c r="S23" s="706">
        <f>F23</f>
        <v>100</v>
      </c>
      <c r="T23" s="705" t="s">
        <v>14</v>
      </c>
      <c r="U23" s="706">
        <f>H23</f>
        <v>100</v>
      </c>
      <c r="V23" s="705" t="s">
        <v>14</v>
      </c>
      <c r="W23" s="706">
        <f>J23</f>
        <v>100</v>
      </c>
      <c r="X23" s="1355"/>
      <c r="Y23" s="3641"/>
      <c r="Z23" s="1356" t="str">
        <f>Q23</f>
        <v>自然及人文环境</v>
      </c>
      <c r="AA23" s="1353">
        <f t="shared" si="3"/>
        <v>1</v>
      </c>
      <c r="AB23" s="1353">
        <f t="shared" si="4"/>
        <v>1</v>
      </c>
      <c r="AC23" s="1353">
        <f t="shared" si="5"/>
        <v>1</v>
      </c>
    </row>
    <row r="24" spans="1:29" ht="15">
      <c r="A24" s="379"/>
      <c r="B24" s="407"/>
      <c r="C24" s="398" t="s">
        <v>3385</v>
      </c>
      <c r="D24" s="399"/>
      <c r="E24" s="1898" t="s">
        <v>3385</v>
      </c>
      <c r="F24" s="400"/>
      <c r="G24" s="1898" t="s">
        <v>3385</v>
      </c>
      <c r="H24" s="399"/>
      <c r="I24" s="1898" t="s">
        <v>3385</v>
      </c>
      <c r="J24" s="399"/>
      <c r="K24" s="564"/>
      <c r="L24" s="2697"/>
      <c r="M24" s="2691"/>
      <c r="N24" s="2691"/>
      <c r="O24" s="2691"/>
      <c r="P24" s="3639"/>
      <c r="Q24" s="1352"/>
      <c r="R24" s="705"/>
      <c r="S24" s="706"/>
      <c r="T24" s="705"/>
      <c r="U24" s="706"/>
      <c r="V24" s="705"/>
      <c r="W24" s="706"/>
      <c r="X24" s="1355"/>
      <c r="Y24" s="3641"/>
      <c r="Z24" s="1356"/>
      <c r="AA24" s="1353">
        <v>1</v>
      </c>
      <c r="AB24" s="1353">
        <v>1</v>
      </c>
      <c r="AC24" s="1353">
        <v>1</v>
      </c>
    </row>
    <row r="25" spans="1:29" ht="15">
      <c r="A25" s="379"/>
      <c r="B25" s="375" t="s">
        <v>1763</v>
      </c>
      <c r="C25" s="565" t="s">
        <v>3406</v>
      </c>
      <c r="D25" s="386">
        <v>100</v>
      </c>
      <c r="E25" s="565" t="s">
        <v>3425</v>
      </c>
      <c r="F25" s="412">
        <f>SUMIF(86:86,E25,87:87)-SUMIF(86:86,C25,87:87)+100</f>
        <v>98</v>
      </c>
      <c r="G25" s="565" t="s">
        <v>3425</v>
      </c>
      <c r="H25" s="386">
        <f>SUMIF(86:86,G25,87:87)-SUMIF(86:86,C25,87:87)+100</f>
        <v>98</v>
      </c>
      <c r="I25" s="565" t="s">
        <v>3425</v>
      </c>
      <c r="J25" s="386">
        <f>SUMIF(86:86,I25,87:87)-SUMIF(86:86,C25,87:87)+100</f>
        <v>98</v>
      </c>
      <c r="K25" s="561">
        <v>2</v>
      </c>
      <c r="L25" s="2697"/>
      <c r="M25" s="2691"/>
      <c r="N25" s="2691"/>
      <c r="O25" s="2691"/>
      <c r="P25" s="3639"/>
      <c r="Q25" s="1352" t="str">
        <f t="shared" ref="Q25:Q46" si="11">B25</f>
        <v>临街状况</v>
      </c>
      <c r="R25" s="705" t="s">
        <v>14</v>
      </c>
      <c r="S25" s="706">
        <f>F25</f>
        <v>98</v>
      </c>
      <c r="T25" s="705" t="s">
        <v>14</v>
      </c>
      <c r="U25" s="706">
        <f>H25</f>
        <v>98</v>
      </c>
      <c r="V25" s="705" t="s">
        <v>14</v>
      </c>
      <c r="W25" s="706">
        <f>J25</f>
        <v>98</v>
      </c>
      <c r="X25" s="1355"/>
      <c r="Y25" s="3641"/>
      <c r="Z25" s="1356" t="str">
        <f>Q25</f>
        <v>临街状况</v>
      </c>
      <c r="AA25" s="1353">
        <f t="shared" si="3"/>
        <v>1.0204081632653061</v>
      </c>
      <c r="AB25" s="1353">
        <f t="shared" si="4"/>
        <v>1.0204081632653061</v>
      </c>
      <c r="AC25" s="1353">
        <f t="shared" si="5"/>
        <v>1.0204081632653061</v>
      </c>
    </row>
    <row r="26" spans="1:29" ht="15">
      <c r="A26" s="379"/>
      <c r="B26" s="1133" t="s">
        <v>1764</v>
      </c>
      <c r="C26" s="3445" t="s">
        <v>3477</v>
      </c>
      <c r="D26" s="386">
        <v>100</v>
      </c>
      <c r="E26" s="3445" t="s">
        <v>3477</v>
      </c>
      <c r="F26" s="412">
        <f>SUMIF(88:88,E26,89:89)-SUMIF(88:88,C26,89:89)+100</f>
        <v>100</v>
      </c>
      <c r="G26" s="3445" t="s">
        <v>3477</v>
      </c>
      <c r="H26" s="386">
        <f>SUMIF(88:88,G26,89:89)-SUMIF(88:88,C26,89:89)+100</f>
        <v>100</v>
      </c>
      <c r="I26" s="3445" t="s">
        <v>3477</v>
      </c>
      <c r="J26" s="386">
        <f>SUMIF(88:88,I26,89:89)-SUMIF(88:88,C26,89:89)+100</f>
        <v>100</v>
      </c>
      <c r="K26" s="562"/>
      <c r="L26" s="2697"/>
      <c r="M26" s="2691"/>
      <c r="N26" s="2691"/>
      <c r="O26" s="2691"/>
      <c r="P26" s="3639"/>
      <c r="Q26" s="1352" t="str">
        <f t="shared" si="11"/>
        <v>平面位置/可视性</v>
      </c>
      <c r="R26" s="705" t="s">
        <v>14</v>
      </c>
      <c r="S26" s="706">
        <f>F26</f>
        <v>100</v>
      </c>
      <c r="T26" s="705" t="s">
        <v>14</v>
      </c>
      <c r="U26" s="706">
        <f>H26</f>
        <v>100</v>
      </c>
      <c r="V26" s="705" t="s">
        <v>14</v>
      </c>
      <c r="W26" s="706">
        <f>J26</f>
        <v>100</v>
      </c>
      <c r="X26" s="1355"/>
      <c r="Y26" s="3641"/>
      <c r="Z26" s="1356" t="str">
        <f>Q26</f>
        <v>平面位置/可视性</v>
      </c>
      <c r="AA26" s="1353">
        <f t="shared" si="3"/>
        <v>1</v>
      </c>
      <c r="AB26" s="1353">
        <f t="shared" si="4"/>
        <v>1</v>
      </c>
      <c r="AC26" s="1353">
        <f t="shared" si="5"/>
        <v>1</v>
      </c>
    </row>
    <row r="27" spans="1:29" s="108" customFormat="1" ht="15">
      <c r="A27" s="382"/>
      <c r="B27" s="402" t="s">
        <v>1765</v>
      </c>
      <c r="C27" s="1956" t="s">
        <v>3380</v>
      </c>
      <c r="D27" s="413">
        <v>100</v>
      </c>
      <c r="E27" s="1956" t="s">
        <v>3434</v>
      </c>
      <c r="F27" s="415">
        <f>SUMIF(90:90,E27,91:91)-SUMIF(90:90,C27,91:91)+100</f>
        <v>105</v>
      </c>
      <c r="G27" s="1956" t="s">
        <v>3434</v>
      </c>
      <c r="H27" s="413">
        <f>SUMIF(90:90,G27,91:91)-SUMIF(90:90,C27,91:91)+100</f>
        <v>105</v>
      </c>
      <c r="I27" s="1956" t="s">
        <v>3434</v>
      </c>
      <c r="J27" s="413">
        <f>SUMIF(90:90,I27,91:91)-SUMIF(90:90,C27,91:91)+100</f>
        <v>105</v>
      </c>
      <c r="K27" s="561">
        <v>5</v>
      </c>
      <c r="L27" s="2692"/>
      <c r="M27" s="2693"/>
      <c r="N27" s="2693"/>
      <c r="O27" s="2693"/>
      <c r="P27" s="3639"/>
      <c r="Q27" s="1343" t="str">
        <f t="shared" si="11"/>
        <v>人流量</v>
      </c>
      <c r="R27" s="701" t="s">
        <v>14</v>
      </c>
      <c r="S27" s="702">
        <f>F27</f>
        <v>105</v>
      </c>
      <c r="T27" s="701" t="s">
        <v>14</v>
      </c>
      <c r="U27" s="702">
        <f>H27</f>
        <v>105</v>
      </c>
      <c r="V27" s="701" t="s">
        <v>14</v>
      </c>
      <c r="W27" s="702">
        <f>J27</f>
        <v>105</v>
      </c>
      <c r="X27" s="703"/>
      <c r="Y27" s="3641"/>
      <c r="Z27" s="52" t="str">
        <f>Q27</f>
        <v>人流量</v>
      </c>
      <c r="AA27" s="1353">
        <f>D27/F27</f>
        <v>0.95238095238095233</v>
      </c>
      <c r="AB27" s="1353">
        <f>D27/H27</f>
        <v>0.95238095238095233</v>
      </c>
      <c r="AC27" s="1353">
        <f>D27/J27</f>
        <v>0.95238095238095233</v>
      </c>
    </row>
    <row r="28" spans="1:29" ht="15">
      <c r="A28" s="379"/>
      <c r="B28" s="375" t="s">
        <v>1766</v>
      </c>
      <c r="C28" s="565" t="s">
        <v>3478</v>
      </c>
      <c r="D28" s="386">
        <v>100</v>
      </c>
      <c r="E28" s="565" t="s">
        <v>3478</v>
      </c>
      <c r="F28" s="412">
        <f>SUMIF(92:92,E28,93:93)-SUMIF(92:92,C28,93:93)+100</f>
        <v>100</v>
      </c>
      <c r="G28" s="565" t="s">
        <v>3478</v>
      </c>
      <c r="H28" s="386">
        <f>SUMIF(92:92,G28,93:93)-SUMIF(92:92,C28,93:93)+100</f>
        <v>100</v>
      </c>
      <c r="I28" s="565" t="s">
        <v>3478</v>
      </c>
      <c r="J28" s="386">
        <f>SUMIF(92:92,I28,93:93)-SUMIF(92:92,C28,93:93)+100</f>
        <v>100</v>
      </c>
      <c r="K28" s="562"/>
      <c r="L28" s="2697"/>
      <c r="M28" s="2691"/>
      <c r="N28" s="2691"/>
      <c r="O28" s="2691"/>
      <c r="P28" s="363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4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39"/>
      <c r="Q29" s="1352">
        <f t="shared" si="11"/>
        <v>111</v>
      </c>
      <c r="R29" s="705" t="s">
        <v>14</v>
      </c>
      <c r="S29" s="706">
        <f t="shared" si="12"/>
        <v>100</v>
      </c>
      <c r="T29" s="705" t="s">
        <v>14</v>
      </c>
      <c r="U29" s="706">
        <f t="shared" si="13"/>
        <v>100</v>
      </c>
      <c r="V29" s="705" t="s">
        <v>14</v>
      </c>
      <c r="W29" s="706">
        <f t="shared" si="14"/>
        <v>100</v>
      </c>
      <c r="X29" s="1355"/>
      <c r="Y29" s="364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39"/>
      <c r="Q30" s="1352">
        <f t="shared" si="11"/>
        <v>111</v>
      </c>
      <c r="R30" s="705" t="s">
        <v>14</v>
      </c>
      <c r="S30" s="706">
        <f t="shared" si="12"/>
        <v>100</v>
      </c>
      <c r="T30" s="705" t="s">
        <v>14</v>
      </c>
      <c r="U30" s="706">
        <f t="shared" si="13"/>
        <v>100</v>
      </c>
      <c r="V30" s="705" t="s">
        <v>14</v>
      </c>
      <c r="W30" s="706">
        <f t="shared" si="14"/>
        <v>100</v>
      </c>
      <c r="X30" s="1355"/>
      <c r="Y30" s="364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3404</v>
      </c>
      <c r="N31" s="2691"/>
      <c r="O31" s="2691"/>
      <c r="P31" s="3639"/>
      <c r="Q31" s="1352">
        <f t="shared" si="11"/>
        <v>111</v>
      </c>
      <c r="R31" s="705" t="s">
        <v>14</v>
      </c>
      <c r="S31" s="706">
        <f t="shared" si="12"/>
        <v>100</v>
      </c>
      <c r="T31" s="705" t="s">
        <v>14</v>
      </c>
      <c r="U31" s="706">
        <f t="shared" si="13"/>
        <v>100</v>
      </c>
      <c r="V31" s="705" t="s">
        <v>14</v>
      </c>
      <c r="W31" s="706">
        <f t="shared" si="14"/>
        <v>100</v>
      </c>
      <c r="X31" s="1355"/>
      <c r="Y31" s="3641"/>
      <c r="Z31" s="1356">
        <f t="shared" si="15"/>
        <v>111</v>
      </c>
      <c r="AA31" s="1353">
        <f t="shared" si="3"/>
        <v>1</v>
      </c>
      <c r="AB31" s="1353">
        <f t="shared" si="4"/>
        <v>1</v>
      </c>
      <c r="AC31" s="1353">
        <f t="shared" si="5"/>
        <v>1</v>
      </c>
    </row>
    <row r="32" spans="1:29" ht="15">
      <c r="A32" s="391" t="s">
        <v>1677</v>
      </c>
      <c r="B32" s="63" t="s">
        <v>1767</v>
      </c>
      <c r="C32" s="1910" t="s">
        <v>3371</v>
      </c>
      <c r="D32" s="418">
        <v>100</v>
      </c>
      <c r="E32" s="1910" t="s">
        <v>3443</v>
      </c>
      <c r="F32" s="412">
        <f>SUMIF(100:100,E32,101:101)-SUMIF(100:100,C32,101:101)+100</f>
        <v>115</v>
      </c>
      <c r="G32" s="1910" t="s">
        <v>3443</v>
      </c>
      <c r="H32" s="386">
        <f>SUMIF(100:100,G32,101:101)-SUMIF(100:100,C32,101:101)+100</f>
        <v>115</v>
      </c>
      <c r="I32" s="1910" t="s">
        <v>3443</v>
      </c>
      <c r="J32" s="418">
        <f>SUMIF(100:100,I32,101:101)-SUMIF(100:100,C32,101:101)+100</f>
        <v>115</v>
      </c>
      <c r="K32" s="561">
        <v>15</v>
      </c>
      <c r="L32" s="2697"/>
      <c r="M32" s="2691"/>
      <c r="N32" s="2691"/>
      <c r="O32" s="2691"/>
      <c r="P32" s="3642" t="s">
        <v>1679</v>
      </c>
      <c r="Q32" s="1352" t="str">
        <f t="shared" si="11"/>
        <v>商业类型</v>
      </c>
      <c r="R32" s="705" t="s">
        <v>14</v>
      </c>
      <c r="S32" s="706">
        <f t="shared" si="12"/>
        <v>115</v>
      </c>
      <c r="T32" s="705" t="s">
        <v>14</v>
      </c>
      <c r="U32" s="706">
        <f t="shared" si="13"/>
        <v>115</v>
      </c>
      <c r="V32" s="705" t="s">
        <v>14</v>
      </c>
      <c r="W32" s="706">
        <f t="shared" si="14"/>
        <v>115</v>
      </c>
      <c r="X32" s="1355"/>
      <c r="Y32" s="3645"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D3</f>
        <v>1123.97</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43"/>
      <c r="Q33" s="707" t="str">
        <f t="shared" si="11"/>
        <v>项目建筑规模</v>
      </c>
      <c r="R33" s="708" t="s">
        <v>14</v>
      </c>
      <c r="S33" s="709">
        <f t="shared" si="12"/>
        <v>109</v>
      </c>
      <c r="T33" s="708" t="s">
        <v>14</v>
      </c>
      <c r="U33" s="709">
        <f t="shared" si="13"/>
        <v>112</v>
      </c>
      <c r="V33" s="708" t="s">
        <v>14</v>
      </c>
      <c r="W33" s="709">
        <f t="shared" si="14"/>
        <v>109</v>
      </c>
      <c r="X33" s="710"/>
      <c r="Y33" s="3645"/>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3446</v>
      </c>
      <c r="D34" s="386">
        <v>100</v>
      </c>
      <c r="E34" s="1912" t="s">
        <v>3446</v>
      </c>
      <c r="F34" s="412">
        <f>SUMIF(105:105,E34,106:106)-SUMIF(105:105,C34,106:106)+100</f>
        <v>100</v>
      </c>
      <c r="G34" s="1912" t="s">
        <v>3446</v>
      </c>
      <c r="H34" s="386">
        <f>SUMIF(105:105,G34,106:106)-SUMIF(105:105,C34,106:106)+100</f>
        <v>100</v>
      </c>
      <c r="I34" s="1912" t="s">
        <v>3446</v>
      </c>
      <c r="J34" s="386">
        <f>SUMIF(105:105,I34,106:106)-SUMIF(105:105,C34,106:106)+100</f>
        <v>100</v>
      </c>
      <c r="K34" s="561">
        <v>2</v>
      </c>
      <c r="L34" s="2697"/>
      <c r="M34" s="2691"/>
      <c r="N34" s="2691"/>
      <c r="O34" s="2691"/>
      <c r="P34" s="3643"/>
      <c r="Q34" s="1352" t="str">
        <f t="shared" si="11"/>
        <v>建筑结构</v>
      </c>
      <c r="R34" s="705" t="s">
        <v>14</v>
      </c>
      <c r="S34" s="706">
        <f t="shared" si="12"/>
        <v>100</v>
      </c>
      <c r="T34" s="705" t="s">
        <v>14</v>
      </c>
      <c r="U34" s="706">
        <f t="shared" si="13"/>
        <v>100</v>
      </c>
      <c r="V34" s="705" t="s">
        <v>14</v>
      </c>
      <c r="W34" s="706">
        <f t="shared" si="14"/>
        <v>100</v>
      </c>
      <c r="X34" s="1355"/>
      <c r="Y34" s="3645"/>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43"/>
      <c r="Q35" s="1352" t="str">
        <f t="shared" si="11"/>
        <v>公共部分装修</v>
      </c>
      <c r="R35" s="705" t="s">
        <v>14</v>
      </c>
      <c r="S35" s="706">
        <f t="shared" si="12"/>
        <v>100</v>
      </c>
      <c r="T35" s="705" t="s">
        <v>14</v>
      </c>
      <c r="U35" s="706">
        <f t="shared" si="13"/>
        <v>100</v>
      </c>
      <c r="V35" s="705" t="s">
        <v>14</v>
      </c>
      <c r="W35" s="706">
        <f t="shared" si="14"/>
        <v>100</v>
      </c>
      <c r="X35" s="1355"/>
      <c r="Y35" s="3645"/>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43"/>
      <c r="Q36" s="1352" t="str">
        <f t="shared" si="11"/>
        <v>成新度</v>
      </c>
      <c r="R36" s="705" t="s">
        <v>14</v>
      </c>
      <c r="S36" s="706">
        <f t="shared" si="12"/>
        <v>99</v>
      </c>
      <c r="T36" s="705" t="s">
        <v>14</v>
      </c>
      <c r="U36" s="706">
        <f t="shared" si="13"/>
        <v>98</v>
      </c>
      <c r="V36" s="705" t="s">
        <v>14</v>
      </c>
      <c r="W36" s="706">
        <f t="shared" si="14"/>
        <v>99</v>
      </c>
      <c r="X36" s="1355"/>
      <c r="Y36" s="3645"/>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3476</v>
      </c>
      <c r="D37" s="127">
        <v>100</v>
      </c>
      <c r="E37" s="1906" t="s">
        <v>3476</v>
      </c>
      <c r="F37" s="412">
        <f>SUMIF(112:112,E37,113:113)-SUMIF(112:112,C37,113:113)+100</f>
        <v>100</v>
      </c>
      <c r="G37" s="1906" t="s">
        <v>3476</v>
      </c>
      <c r="H37" s="386">
        <f>SUMIF(112:112,G37,113:113)-SUMIF(112:112,C37,113:113)+100</f>
        <v>100</v>
      </c>
      <c r="I37" s="1906" t="s">
        <v>3479</v>
      </c>
      <c r="J37" s="386">
        <f>SUMIF(112:112,I37,113:113)-SUMIF(112:112,C37,113:113)+100</f>
        <v>98</v>
      </c>
      <c r="K37" s="561">
        <v>1</v>
      </c>
      <c r="L37" s="2692"/>
      <c r="M37" s="2693"/>
      <c r="N37" s="2693"/>
      <c r="O37" s="2693"/>
      <c r="P37" s="3643"/>
      <c r="Q37" s="1343" t="str">
        <f t="shared" si="11"/>
        <v>市政基础设施</v>
      </c>
      <c r="R37" s="701" t="s">
        <v>14</v>
      </c>
      <c r="S37" s="702">
        <f t="shared" si="12"/>
        <v>100</v>
      </c>
      <c r="T37" s="701" t="s">
        <v>14</v>
      </c>
      <c r="U37" s="702">
        <f t="shared" si="13"/>
        <v>100</v>
      </c>
      <c r="V37" s="701" t="s">
        <v>14</v>
      </c>
      <c r="W37" s="702">
        <f t="shared" si="14"/>
        <v>98</v>
      </c>
      <c r="X37" s="703"/>
      <c r="Y37" s="3645"/>
      <c r="Z37" s="52" t="str">
        <f t="shared" si="15"/>
        <v>市政基础设施</v>
      </c>
      <c r="AA37" s="704">
        <f t="shared" si="3"/>
        <v>1</v>
      </c>
      <c r="AB37" s="704">
        <f t="shared" si="4"/>
        <v>1</v>
      </c>
      <c r="AC37" s="704">
        <f t="shared" si="5"/>
        <v>1.0204081632653061</v>
      </c>
    </row>
    <row r="38" spans="1:29" ht="15">
      <c r="A38" s="423"/>
      <c r="B38" s="375" t="s">
        <v>1771</v>
      </c>
      <c r="C38" s="1906" t="s">
        <v>3454</v>
      </c>
      <c r="D38" s="386">
        <v>100</v>
      </c>
      <c r="E38" s="1906" t="s">
        <v>3454</v>
      </c>
      <c r="F38" s="412">
        <f>SUMIF(114:114,E38,115:115)-SUMIF(114:114,C38,115:115)+100</f>
        <v>100</v>
      </c>
      <c r="G38" s="1906" t="s">
        <v>3454</v>
      </c>
      <c r="H38" s="386">
        <f>SUMIF(114:114,G38,115:115)-SUMIF(114:114,C38,115:115)+100</f>
        <v>100</v>
      </c>
      <c r="I38" s="1906" t="s">
        <v>3456</v>
      </c>
      <c r="J38" s="386">
        <f>SUMIF(114:114,I38,115:115)-SUMIF(114:114,C38,115:115)+100</f>
        <v>98</v>
      </c>
      <c r="K38" s="561">
        <v>2</v>
      </c>
      <c r="L38" s="2697"/>
      <c r="M38" s="2691"/>
      <c r="N38" s="2691"/>
      <c r="O38" s="2691"/>
      <c r="P38" s="3643" t="s">
        <v>1679</v>
      </c>
      <c r="Q38" s="1352" t="str">
        <f t="shared" si="11"/>
        <v>业态</v>
      </c>
      <c r="R38" s="705" t="s">
        <v>14</v>
      </c>
      <c r="S38" s="706">
        <f t="shared" si="12"/>
        <v>100</v>
      </c>
      <c r="T38" s="705" t="s">
        <v>14</v>
      </c>
      <c r="U38" s="706">
        <f t="shared" si="13"/>
        <v>100</v>
      </c>
      <c r="V38" s="705" t="s">
        <v>14</v>
      </c>
      <c r="W38" s="706">
        <f t="shared" si="14"/>
        <v>98</v>
      </c>
      <c r="X38" s="1355"/>
      <c r="Y38" s="3645" t="s">
        <v>1679</v>
      </c>
      <c r="Z38" s="1356" t="str">
        <f t="shared" si="15"/>
        <v>业态</v>
      </c>
      <c r="AA38" s="1353">
        <f t="shared" si="3"/>
        <v>1</v>
      </c>
      <c r="AB38" s="1353">
        <f t="shared" si="4"/>
        <v>1</v>
      </c>
      <c r="AC38" s="1353">
        <f t="shared" si="5"/>
        <v>1.0204081632653061</v>
      </c>
    </row>
    <row r="39" spans="1:29" ht="15">
      <c r="A39" s="423"/>
      <c r="B39" s="375" t="s">
        <v>1772</v>
      </c>
      <c r="C39" s="1906" t="s">
        <v>3459</v>
      </c>
      <c r="D39" s="386">
        <v>100</v>
      </c>
      <c r="E39" s="1906" t="s">
        <v>3459</v>
      </c>
      <c r="F39" s="412">
        <f>SUMIF(116:116,E39,117:117)-SUMIF(116:116,C39,117:117)+100</f>
        <v>100</v>
      </c>
      <c r="G39" s="1906" t="s">
        <v>3459</v>
      </c>
      <c r="H39" s="386">
        <f>SUMIF(116:116,G39,117:117)-SUMIF(116:116,C39,117:117)+100</f>
        <v>100</v>
      </c>
      <c r="I39" s="1906" t="s">
        <v>3459</v>
      </c>
      <c r="J39" s="386">
        <f>SUMIF(116:116,I39,117:117)-SUMIF(116:116,C39,117:117)+100</f>
        <v>100</v>
      </c>
      <c r="K39" s="561">
        <v>5</v>
      </c>
      <c r="L39" s="2697"/>
      <c r="M39" s="2691"/>
      <c r="N39" s="2691"/>
      <c r="O39" s="2691"/>
      <c r="P39" s="3643"/>
      <c r="Q39" s="1352" t="str">
        <f t="shared" si="11"/>
        <v>层高</v>
      </c>
      <c r="R39" s="705" t="s">
        <v>14</v>
      </c>
      <c r="S39" s="706">
        <f t="shared" si="12"/>
        <v>100</v>
      </c>
      <c r="T39" s="705" t="s">
        <v>14</v>
      </c>
      <c r="U39" s="706">
        <f t="shared" si="13"/>
        <v>100</v>
      </c>
      <c r="V39" s="705" t="s">
        <v>14</v>
      </c>
      <c r="W39" s="706">
        <f t="shared" si="14"/>
        <v>100</v>
      </c>
      <c r="X39" s="1355"/>
      <c r="Y39" s="3645"/>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43"/>
      <c r="Q40" s="1352" t="str">
        <f t="shared" si="11"/>
        <v>单套建筑面积</v>
      </c>
      <c r="R40" s="705" t="s">
        <v>14</v>
      </c>
      <c r="S40" s="706">
        <f t="shared" si="12"/>
        <v>100</v>
      </c>
      <c r="T40" s="705" t="s">
        <v>14</v>
      </c>
      <c r="U40" s="706">
        <f t="shared" si="13"/>
        <v>100</v>
      </c>
      <c r="V40" s="705" t="s">
        <v>14</v>
      </c>
      <c r="W40" s="706">
        <f t="shared" si="14"/>
        <v>100</v>
      </c>
      <c r="X40" s="1355"/>
      <c r="Y40" s="3645"/>
      <c r="Z40" s="1356" t="str">
        <f t="shared" si="15"/>
        <v>单套建筑面积</v>
      </c>
      <c r="AA40" s="1353">
        <f t="shared" si="3"/>
        <v>1</v>
      </c>
      <c r="AB40" s="1353">
        <f t="shared" si="4"/>
        <v>1</v>
      </c>
      <c r="AC40" s="1353">
        <f t="shared" si="5"/>
        <v>1</v>
      </c>
    </row>
    <row r="41" spans="1:29" s="422" customFormat="1" ht="15">
      <c r="A41" s="419"/>
      <c r="B41" s="1354" t="s">
        <v>1774</v>
      </c>
      <c r="C41" s="565" t="s">
        <v>3380</v>
      </c>
      <c r="D41" s="386">
        <v>100</v>
      </c>
      <c r="E41" s="565" t="s">
        <v>3462</v>
      </c>
      <c r="F41" s="412">
        <f>SUMIF(120:120,E41,121:121)-SUMIF(120:120,C41,121:121)+100</f>
        <v>105</v>
      </c>
      <c r="G41" s="565" t="s">
        <v>3462</v>
      </c>
      <c r="H41" s="386">
        <f>SUMIF(120:120,G41,121:121)-SUMIF(120:120,C41,121:121)+100</f>
        <v>105</v>
      </c>
      <c r="I41" s="565" t="s">
        <v>3462</v>
      </c>
      <c r="J41" s="386">
        <f>SUMIF(120:120,I41,121:121)-SUMIF(120:120,C41,121:121)+100</f>
        <v>105</v>
      </c>
      <c r="K41" s="561">
        <v>5</v>
      </c>
      <c r="L41" s="2696"/>
      <c r="M41" s="2698"/>
      <c r="N41" s="2698"/>
      <c r="O41" s="2698"/>
      <c r="P41" s="3643"/>
      <c r="Q41" s="707" t="str">
        <f t="shared" si="11"/>
        <v>进深比</v>
      </c>
      <c r="R41" s="708" t="s">
        <v>14</v>
      </c>
      <c r="S41" s="709">
        <f t="shared" si="12"/>
        <v>105</v>
      </c>
      <c r="T41" s="708" t="s">
        <v>14</v>
      </c>
      <c r="U41" s="709">
        <f t="shared" si="13"/>
        <v>105</v>
      </c>
      <c r="V41" s="708" t="s">
        <v>14</v>
      </c>
      <c r="W41" s="709">
        <f t="shared" si="14"/>
        <v>105</v>
      </c>
      <c r="X41" s="710"/>
      <c r="Y41" s="3645"/>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3450</v>
      </c>
      <c r="D42" s="386">
        <v>100</v>
      </c>
      <c r="E42" s="1906" t="s">
        <v>3448</v>
      </c>
      <c r="F42" s="412">
        <f>SUMIF(122:122,E42,123:123)-SUMIF(122:122,C42,123:123)+100</f>
        <v>102</v>
      </c>
      <c r="G42" s="1906" t="s">
        <v>3450</v>
      </c>
      <c r="H42" s="386">
        <f>SUMIF(122:122,G42,123:123)-SUMIF(122:122,C42,123:123)+100</f>
        <v>100</v>
      </c>
      <c r="I42" s="1906" t="s">
        <v>3448</v>
      </c>
      <c r="J42" s="386">
        <f>SUMIF(122:122,I42,123:123)-SUMIF(122:122,C42,123:123)+100</f>
        <v>102</v>
      </c>
      <c r="K42" s="561">
        <v>2</v>
      </c>
      <c r="L42" s="2697"/>
      <c r="M42" s="2691"/>
      <c r="N42" s="2691"/>
      <c r="O42" s="2691"/>
      <c r="P42" s="3643"/>
      <c r="Q42" s="1352" t="str">
        <f t="shared" si="11"/>
        <v>内部装修</v>
      </c>
      <c r="R42" s="705" t="s">
        <v>14</v>
      </c>
      <c r="S42" s="706">
        <f t="shared" si="12"/>
        <v>102</v>
      </c>
      <c r="T42" s="705" t="s">
        <v>14</v>
      </c>
      <c r="U42" s="706">
        <f t="shared" si="13"/>
        <v>100</v>
      </c>
      <c r="V42" s="705" t="s">
        <v>14</v>
      </c>
      <c r="W42" s="706">
        <f t="shared" si="14"/>
        <v>102</v>
      </c>
      <c r="X42" s="1355"/>
      <c r="Y42" s="3645"/>
      <c r="Z42" s="1356" t="str">
        <f t="shared" si="15"/>
        <v>内部装修</v>
      </c>
      <c r="AA42" s="1353">
        <f t="shared" si="3"/>
        <v>0.98039215686274506</v>
      </c>
      <c r="AB42" s="1353">
        <f t="shared" si="4"/>
        <v>1</v>
      </c>
      <c r="AC42" s="1353">
        <f t="shared" si="5"/>
        <v>0.98039215686274506</v>
      </c>
    </row>
    <row r="43" spans="1:29" ht="15.75" thickBot="1">
      <c r="A43" s="423"/>
      <c r="B43" s="375" t="s">
        <v>1690</v>
      </c>
      <c r="C43" s="1906" t="s">
        <v>3385</v>
      </c>
      <c r="D43" s="386">
        <v>100</v>
      </c>
      <c r="E43" s="1906" t="s">
        <v>3385</v>
      </c>
      <c r="F43" s="412">
        <f>SUMIF(124:124,E43,125:125)-SUMIF(124:124,C43,125:125)+100</f>
        <v>100</v>
      </c>
      <c r="G43" s="1906" t="s">
        <v>3385</v>
      </c>
      <c r="H43" s="386">
        <f>SUMIF(124:124,G43,125:125)-SUMIF(124:124,C43,125:125)+100</f>
        <v>100</v>
      </c>
      <c r="I43" s="1906" t="s">
        <v>3385</v>
      </c>
      <c r="J43" s="386">
        <f>SUMIF(124:124,I43,125:125)-SUMIF(124:124,C43,125:125)+100</f>
        <v>100</v>
      </c>
      <c r="K43" s="561">
        <v>2</v>
      </c>
      <c r="L43" s="2697"/>
      <c r="M43" s="2691"/>
      <c r="N43" s="2691"/>
      <c r="O43" s="2691"/>
      <c r="P43" s="3643"/>
      <c r="Q43" s="1352" t="str">
        <f t="shared" si="11"/>
        <v>内部装修维护情况</v>
      </c>
      <c r="R43" s="705" t="s">
        <v>14</v>
      </c>
      <c r="S43" s="706">
        <f t="shared" si="12"/>
        <v>100</v>
      </c>
      <c r="T43" s="705" t="s">
        <v>14</v>
      </c>
      <c r="U43" s="706">
        <f t="shared" si="13"/>
        <v>100</v>
      </c>
      <c r="V43" s="705" t="s">
        <v>14</v>
      </c>
      <c r="W43" s="706">
        <f t="shared" si="14"/>
        <v>100</v>
      </c>
      <c r="X43" s="1355"/>
      <c r="Y43" s="3645"/>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43"/>
      <c r="Q44" s="1343">
        <f t="shared" si="11"/>
        <v>111</v>
      </c>
      <c r="R44" s="701" t="s">
        <v>14</v>
      </c>
      <c r="S44" s="702">
        <f t="shared" si="12"/>
        <v>100</v>
      </c>
      <c r="T44" s="701" t="s">
        <v>14</v>
      </c>
      <c r="U44" s="702">
        <f t="shared" si="13"/>
        <v>100</v>
      </c>
      <c r="V44" s="701" t="s">
        <v>14</v>
      </c>
      <c r="W44" s="702">
        <f t="shared" si="14"/>
        <v>100</v>
      </c>
      <c r="X44" s="703"/>
      <c r="Y44" s="3645"/>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43"/>
      <c r="Q45" s="1352">
        <f t="shared" si="11"/>
        <v>111</v>
      </c>
      <c r="R45" s="705" t="s">
        <v>14</v>
      </c>
      <c r="S45" s="706">
        <f t="shared" si="12"/>
        <v>100</v>
      </c>
      <c r="T45" s="705" t="s">
        <v>14</v>
      </c>
      <c r="U45" s="706">
        <f t="shared" si="13"/>
        <v>100</v>
      </c>
      <c r="V45" s="705" t="s">
        <v>14</v>
      </c>
      <c r="W45" s="706">
        <f t="shared" si="14"/>
        <v>100</v>
      </c>
      <c r="X45" s="1355"/>
      <c r="Y45" s="3645"/>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44"/>
      <c r="Q46" s="1352">
        <f t="shared" si="11"/>
        <v>111</v>
      </c>
      <c r="R46" s="705" t="s">
        <v>14</v>
      </c>
      <c r="S46" s="706">
        <f t="shared" si="12"/>
        <v>100</v>
      </c>
      <c r="T46" s="705" t="s">
        <v>14</v>
      </c>
      <c r="U46" s="706">
        <f t="shared" si="13"/>
        <v>100</v>
      </c>
      <c r="V46" s="705" t="s">
        <v>14</v>
      </c>
      <c r="W46" s="706">
        <f t="shared" si="14"/>
        <v>100</v>
      </c>
      <c r="X46" s="1355"/>
      <c r="Y46" s="3646"/>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33" t="str">
        <f>A47</f>
        <v>成交单价（元/平方米）</v>
      </c>
      <c r="Q47" s="3633"/>
      <c r="R47" s="3647">
        <f>E47</f>
        <v>59890</v>
      </c>
      <c r="S47" s="3647"/>
      <c r="T47" s="3647">
        <f>G47</f>
        <v>58832</v>
      </c>
      <c r="U47" s="3647"/>
      <c r="V47" s="3647">
        <f>I47</f>
        <v>64451</v>
      </c>
      <c r="W47" s="3647"/>
      <c r="X47" s="690"/>
      <c r="Y47" s="712"/>
      <c r="Z47" s="690"/>
      <c r="AA47" s="690"/>
      <c r="AB47" s="690"/>
      <c r="AC47" s="690"/>
    </row>
    <row r="48" spans="1:29" ht="15.75" thickBot="1">
      <c r="A48" s="437" t="s">
        <v>1776</v>
      </c>
      <c r="B48" s="438"/>
      <c r="C48" s="1160">
        <f>R49</f>
        <v>46858</v>
      </c>
      <c r="D48" s="2316" t="s">
        <v>2120</v>
      </c>
      <c r="E48" s="1161">
        <f>R48</f>
        <v>46096</v>
      </c>
      <c r="F48" s="2317"/>
      <c r="G48" s="1160">
        <f>T48</f>
        <v>45409</v>
      </c>
      <c r="H48" s="2317"/>
      <c r="I48" s="1161">
        <f>V48</f>
        <v>49070</v>
      </c>
      <c r="J48" s="2317"/>
      <c r="K48" s="2319">
        <f>F48+H48+J48</f>
        <v>0</v>
      </c>
      <c r="L48" s="2699">
        <v>0.95</v>
      </c>
      <c r="M48" s="2700"/>
      <c r="N48" s="2691"/>
      <c r="O48" s="2700"/>
      <c r="P48" s="3633" t="str">
        <f>A48</f>
        <v>比较价值（元/平方米）</v>
      </c>
      <c r="Q48" s="3633"/>
      <c r="R48" s="3634">
        <f>IF(F1="售价",ROUND(PRODUCT(R47,AA7:AA46),0),ROUND(PRODUCT(R47,AA7:AA46),1))</f>
        <v>46096</v>
      </c>
      <c r="S48" s="3634"/>
      <c r="T48" s="3634">
        <f>IF(F1="售价",ROUND(PRODUCT(T47,AB7:AB46),0),ROUND(PRODUCT(T47,AB7:AB46),1))</f>
        <v>45409</v>
      </c>
      <c r="U48" s="3634"/>
      <c r="V48" s="3634">
        <f>IF(F1="售价",ROUND(PRODUCT(V47,AC7:AC46),0),ROUND(PRODUCT(V47,AC7:AC46),1))</f>
        <v>49070</v>
      </c>
      <c r="W48" s="3634"/>
      <c r="X48" s="690"/>
      <c r="Y48" s="690"/>
      <c r="Z48" s="690"/>
      <c r="AA48" s="690"/>
      <c r="AB48" s="690"/>
      <c r="AC48" s="690"/>
    </row>
    <row r="49" spans="1:29" ht="15.75" thickBot="1">
      <c r="A49" s="441" t="s">
        <v>1777</v>
      </c>
      <c r="B49" s="442"/>
      <c r="C49" s="1163">
        <f>R49</f>
        <v>46858</v>
      </c>
      <c r="D49" s="1163"/>
      <c r="E49" s="1163"/>
      <c r="F49" s="1163"/>
      <c r="G49" s="1163"/>
      <c r="H49" s="1163"/>
      <c r="I49" s="1163"/>
      <c r="J49" s="1163"/>
      <c r="K49" s="715"/>
      <c r="L49" s="2699"/>
      <c r="M49" s="2700"/>
      <c r="N49" s="2691"/>
      <c r="O49" s="2700"/>
      <c r="P49" s="3635" t="str">
        <f>A49</f>
        <v>估价对象XX用房的比较价值（楼面单价，元/平方米）</v>
      </c>
      <c r="Q49" s="3636"/>
      <c r="R49" s="3637">
        <f>IF(F1="售价",ROUND(IF(D48="简单平均",AVERAGE(R48:V48),R48*F48+T48*H48+V48*J48),0),ROUND(IF(D48="简单平均",AVERAGE(R48:V48),R48*F48+T48*H48+V48*J48),1))</f>
        <v>46858</v>
      </c>
      <c r="S49" s="3637"/>
      <c r="T49" s="3637"/>
      <c r="U49" s="3637"/>
      <c r="V49" s="3637"/>
      <c r="W49" s="3637"/>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0.29924505380076361</v>
      </c>
      <c r="F52" s="449" t="str">
        <f>IF(OR(E52&gt;=0.3,E52&lt;=-0.3),"超过30%","")</f>
        <v/>
      </c>
      <c r="G52" s="448">
        <f>IF(G47&lt;G48,G48/G47-1,G47/G48-1)</f>
        <v>0.2956021933977846</v>
      </c>
      <c r="H52" s="449" t="str">
        <f>IF(OR(G52&gt;=0.3,G52&lt;=-0.3),"超过30%","")</f>
        <v/>
      </c>
      <c r="I52" s="448">
        <f>IF(I47&lt;I48,I48/I47-1,I47/I48-1)</f>
        <v>0.31345017322192792</v>
      </c>
      <c r="J52" s="449" t="str">
        <f>IF(OR(I52&gt;=0.3,I52&lt;=-0.3),"超过30%","")</f>
        <v>超过30%</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1.5129159417736515E-2</v>
      </c>
      <c r="F53" s="449" t="str">
        <f>IF(OR(E53&gt;=0.2,E53&lt;=-0.2),"超过20%","")</f>
        <v/>
      </c>
      <c r="G53" s="448">
        <f>IF(G48&lt;I48,I48/G48-1,G48/I48-1)</f>
        <v>8.0622784029597661E-2</v>
      </c>
      <c r="H53" s="449" t="str">
        <f>IF(OR(G53&gt;=0.2,G53&lt;=-0.2),"超过20%","")</f>
        <v/>
      </c>
      <c r="I53" s="448">
        <f>IF(I48&lt;E48,E48/I48-1,I48/E48-1)</f>
        <v>6.4517528635890331E-2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3471</v>
      </c>
      <c r="D65" s="532" t="s">
        <v>3473</v>
      </c>
      <c r="E65" s="3439" t="s">
        <v>3422</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3423</v>
      </c>
      <c r="D86" s="3440" t="s">
        <v>3424</v>
      </c>
      <c r="E86" s="3440" t="s">
        <v>3426</v>
      </c>
      <c r="F86" s="3440" t="s">
        <v>3427</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3428</v>
      </c>
      <c r="D88" s="3440" t="s">
        <v>3429</v>
      </c>
      <c r="E88" s="3440" t="s">
        <v>3430</v>
      </c>
      <c r="F88" s="3441" t="s">
        <v>3431</v>
      </c>
      <c r="G88" s="3440" t="s">
        <v>3432</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3433</v>
      </c>
      <c r="D90" s="3440" t="s">
        <v>3435</v>
      </c>
      <c r="E90" s="3440" t="s">
        <v>3436</v>
      </c>
      <c r="F90" s="3440" t="s">
        <v>3437</v>
      </c>
      <c r="G90" s="3440" t="s">
        <v>3438</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3439</v>
      </c>
      <c r="D92" s="503" t="s">
        <v>3440</v>
      </c>
      <c r="E92" s="503" t="s">
        <v>3441</v>
      </c>
      <c r="F92" s="503" t="s">
        <v>3442</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3444</v>
      </c>
      <c r="D100" s="3442" t="s">
        <v>3445</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3447</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3449</v>
      </c>
      <c r="D107" s="3440" t="s">
        <v>3451</v>
      </c>
      <c r="E107" s="3440" t="s">
        <v>3452</v>
      </c>
      <c r="F107" s="3443" t="s">
        <v>3453</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3455</v>
      </c>
      <c r="D114" s="3440" t="s">
        <v>3457</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3458</v>
      </c>
      <c r="D116" s="3440" t="s">
        <v>3460</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3461</v>
      </c>
      <c r="D120" s="3443" t="s">
        <v>3463</v>
      </c>
      <c r="E120" s="3443" t="s">
        <v>3436</v>
      </c>
      <c r="F120" s="3443" t="s">
        <v>3464</v>
      </c>
      <c r="G120" s="3444" t="s">
        <v>3465</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B22" zoomScale="90" zoomScaleNormal="70" zoomScaleSheetLayoutView="9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3499</v>
      </c>
      <c r="C1" s="198"/>
      <c r="D1" s="198"/>
      <c r="E1" s="198"/>
      <c r="F1" s="198"/>
      <c r="G1" s="1126">
        <f>MATCH(B1,'数据-取费表'!A6:A16,0)+5</f>
        <v>6</v>
      </c>
    </row>
    <row r="2" spans="1:9" s="200" customFormat="1" ht="18" customHeight="1">
      <c r="A2" s="201" t="s">
        <v>1445</v>
      </c>
      <c r="B2" s="202">
        <f ca="1">IF(D2="——",C52,C52-E2)</f>
        <v>2117</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18835</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1312</v>
      </c>
      <c r="D5" s="211" t="s">
        <v>1452</v>
      </c>
      <c r="E5" s="212" t="s">
        <v>1453</v>
      </c>
      <c r="F5" s="212" t="s">
        <v>1454</v>
      </c>
      <c r="G5" s="213"/>
    </row>
    <row r="6" spans="1:9" s="214" customFormat="1" ht="13.5" customHeight="1">
      <c r="A6" s="778" t="s">
        <v>1455</v>
      </c>
      <c r="B6" s="215" t="s">
        <v>1456</v>
      </c>
      <c r="C6" s="216">
        <f>基准地价修正!B2</f>
        <v>1252</v>
      </c>
      <c r="D6" s="217"/>
      <c r="E6" s="218"/>
      <c r="F6" s="218"/>
      <c r="G6" s="219"/>
    </row>
    <row r="7" spans="1:9" s="214" customFormat="1" ht="13.5" customHeight="1">
      <c r="A7" s="778" t="s">
        <v>1457</v>
      </c>
      <c r="B7" s="215" t="s">
        <v>1458</v>
      </c>
      <c r="C7" s="220">
        <f>ROUND(C6*F7,0)</f>
        <v>38</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22</v>
      </c>
      <c r="D8" s="222"/>
      <c r="E8" s="220"/>
      <c r="F8" s="221"/>
      <c r="G8" s="1856" t="s">
        <v>3394</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3490</v>
      </c>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1123.97</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1123.97</v>
      </c>
      <c r="E19" s="211">
        <f>'数据-取费表'!B31</f>
        <v>200</v>
      </c>
      <c r="F19" s="231"/>
      <c r="G19" s="1856" t="s">
        <v>3395</v>
      </c>
    </row>
    <row r="20" spans="1:7" s="214" customFormat="1" ht="13.5" customHeight="1">
      <c r="A20" s="255" t="s">
        <v>1476</v>
      </c>
      <c r="B20" s="210" t="s">
        <v>1477</v>
      </c>
      <c r="C20" s="232">
        <f ca="1">ROUND((C5+C19)*F20,0)</f>
        <v>26</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55</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54</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134</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ROUND((C5+C19+C20)*F27*'数据-取费表'!B21/'数据-取费表'!B20,0)</f>
        <v>134</v>
      </c>
      <c r="D28" s="235"/>
      <c r="E28" s="236"/>
      <c r="F28" s="246"/>
      <c r="G28" s="247"/>
    </row>
    <row r="29" spans="1:7" s="214" customFormat="1" ht="13.5" customHeight="1">
      <c r="A29" s="780" t="s">
        <v>347</v>
      </c>
      <c r="B29" s="248" t="s">
        <v>1500</v>
      </c>
      <c r="C29" s="238">
        <f ca="1">ROUND(C21*F27*'数据-取费表'!B21/'数据-取费表'!B20,4)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1650</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398</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360</v>
      </c>
      <c r="D34" s="217"/>
      <c r="E34" s="220"/>
      <c r="F34" s="257">
        <f ca="1">IF('数据-取费表'!B24=0,1,IF(B1="",'数据-取费表'!N16,INDIRECT("'数据-取费表'!n"&amp;$G$1)))</f>
        <v>1</v>
      </c>
      <c r="G34" s="219" t="s">
        <v>1509</v>
      </c>
    </row>
    <row r="35" spans="1:7" ht="13.5" customHeight="1">
      <c r="A35" s="780" t="s">
        <v>351</v>
      </c>
      <c r="B35" s="215" t="s">
        <v>1510</v>
      </c>
      <c r="C35" s="220">
        <f ca="1">ROUND(C34*F35,0)</f>
        <v>11</v>
      </c>
      <c r="D35" s="220"/>
      <c r="E35" s="220"/>
      <c r="F35" s="259">
        <f>'数据-取费表'!B33</f>
        <v>0.03</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1123.97</v>
      </c>
      <c r="E37" s="249">
        <f>'数据-取费表'!B35</f>
        <v>200</v>
      </c>
      <c r="F37" s="259"/>
      <c r="G37" s="261" t="s">
        <v>1515</v>
      </c>
    </row>
    <row r="38" spans="1:7" ht="13.5" customHeight="1">
      <c r="A38" s="780" t="s">
        <v>354</v>
      </c>
      <c r="B38" s="215" t="s">
        <v>1516</v>
      </c>
      <c r="C38" s="220">
        <f ca="1">ROUND(C34*F38,0)</f>
        <v>5</v>
      </c>
      <c r="D38" s="220"/>
      <c r="E38" s="220"/>
      <c r="F38" s="259">
        <f>'数据-取费表'!B36</f>
        <v>1.4999999999999999E-2</v>
      </c>
      <c r="G38" s="219" t="s">
        <v>1511</v>
      </c>
    </row>
    <row r="39" spans="1:7" s="214" customFormat="1" ht="13.5" customHeight="1">
      <c r="A39" s="255" t="s">
        <v>1517</v>
      </c>
      <c r="B39" s="210" t="s">
        <v>1518</v>
      </c>
      <c r="C39" s="232">
        <f ca="1">ROUND(C33*F20,0)</f>
        <v>8</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8</v>
      </c>
      <c r="D42" s="238"/>
      <c r="E42" s="238"/>
      <c r="F42" s="239"/>
      <c r="G42" s="3680" t="s">
        <v>1527</v>
      </c>
    </row>
    <row r="43" spans="1:7" ht="13.5" customHeight="1">
      <c r="A43" s="780" t="s">
        <v>347</v>
      </c>
      <c r="B43" s="215" t="s">
        <v>1528</v>
      </c>
      <c r="C43" s="238">
        <f ca="1">ROUND(IF('数据-取费表'!B22&lt;=1,C39*F22*'数据-取费表'!B21/2,C39*(POWER((1+F22),'数据-取费表'!B21/2)-1)),0)</f>
        <v>0</v>
      </c>
      <c r="D43" s="238"/>
      <c r="E43" s="238"/>
      <c r="F43" s="239"/>
      <c r="G43" s="3681"/>
    </row>
    <row r="44" spans="1:7" ht="13.5" customHeight="1">
      <c r="A44" s="780" t="s">
        <v>348</v>
      </c>
      <c r="B44" s="215" t="s">
        <v>1529</v>
      </c>
      <c r="C44" s="238">
        <f ca="1">ROUND(IF('数据-取费表'!B22&lt;=1,C40*F22*'数据-取费表'!B21/2,C40*(POWER((1+F22),'数据-取费表'!B21/2)-1)),4)</f>
        <v>4.0000000000000002E-4</v>
      </c>
      <c r="D44" s="238"/>
      <c r="E44" s="238"/>
      <c r="F44" s="239"/>
      <c r="G44" s="3682"/>
    </row>
    <row r="45" spans="1:7" s="214" customFormat="1" ht="13.5" customHeight="1">
      <c r="A45" s="255" t="s">
        <v>1530</v>
      </c>
      <c r="B45" s="244" t="s">
        <v>1496</v>
      </c>
      <c r="C45" s="245">
        <f ca="1">C46</f>
        <v>41</v>
      </c>
      <c r="D45" s="235">
        <f ca="1">C47</f>
        <v>2E-3</v>
      </c>
      <c r="E45" s="236" t="s">
        <v>1522</v>
      </c>
      <c r="F45" s="246">
        <f ca="1">F27</f>
        <v>0.1</v>
      </c>
      <c r="G45" s="247" t="s">
        <v>1531</v>
      </c>
    </row>
    <row r="46" spans="1:7" s="214" customFormat="1" ht="13.5" customHeight="1">
      <c r="A46" s="780" t="s">
        <v>346</v>
      </c>
      <c r="B46" s="248" t="s">
        <v>1532</v>
      </c>
      <c r="C46" s="249">
        <f ca="1">ROUND((C33+C39)*F27,0)</f>
        <v>41</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492</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467</v>
      </c>
      <c r="D51" s="232"/>
      <c r="E51" s="232"/>
      <c r="F51" s="264"/>
      <c r="G51" s="234" t="s">
        <v>1543</v>
      </c>
    </row>
    <row r="52" spans="1:7" s="208" customFormat="1" ht="16.5" thickBot="1">
      <c r="A52" s="265" t="s">
        <v>1544</v>
      </c>
      <c r="B52" s="266"/>
      <c r="C52" s="267">
        <f ca="1">C31+C51</f>
        <v>2117</v>
      </c>
      <c r="D52" s="266"/>
      <c r="E52" s="266"/>
      <c r="F52" s="266"/>
      <c r="G52" s="268"/>
    </row>
    <row r="55" spans="1:7" ht="15">
      <c r="B55" s="270" t="s">
        <v>1545</v>
      </c>
      <c r="C55" s="271"/>
    </row>
    <row r="56" spans="1:7">
      <c r="B56" s="273" t="s">
        <v>802</v>
      </c>
      <c r="C56" s="275">
        <f ca="1">1-C57</f>
        <v>0.77900000000000003</v>
      </c>
    </row>
    <row r="57" spans="1:7">
      <c r="B57" s="273" t="s">
        <v>803</v>
      </c>
      <c r="C57" s="274">
        <f ca="1">ROUND(C51/C52,3)</f>
        <v>0.221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524.12760000000003</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4663</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224794</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224794</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224794</v>
      </c>
      <c r="D10" s="845">
        <f ca="1">IF(B1="",'数据-汇总表'!E6,IF(INDIRECT("'数据-取费表'!c"&amp;$G$1)="住宅",INDIRECT("'数据-取费表'!s"&amp;$G$1),INDIRECT("'数据-取费表'!k"&amp;$G$1)+INDIRECT("'数据-取费表'!s"&amp;$G$1)))</f>
        <v>1123.97</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224794</v>
      </c>
      <c r="D19" s="849">
        <f ca="1">D9+D10</f>
        <v>1123.97</v>
      </c>
      <c r="E19" s="211">
        <f>'数据-取费表'!B31</f>
        <v>200</v>
      </c>
      <c r="F19" s="231"/>
      <c r="G19" s="1856"/>
    </row>
    <row r="20" spans="1:7" s="214" customFormat="1" ht="13.5" customHeight="1">
      <c r="A20" s="255" t="s">
        <v>1557</v>
      </c>
      <c r="B20" s="210" t="s">
        <v>1558</v>
      </c>
      <c r="C20" s="232">
        <f ca="1">ROUND((C5+C19)*F20,0)</f>
        <v>8992</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18845</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9329</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9329</v>
      </c>
      <c r="D24" s="238"/>
      <c r="E24" s="238"/>
      <c r="F24" s="239"/>
      <c r="G24" s="240" t="s">
        <v>1569</v>
      </c>
    </row>
    <row r="25" spans="1:7" s="214" customFormat="1" ht="24">
      <c r="A25" s="780" t="s">
        <v>1459</v>
      </c>
      <c r="B25" s="215" t="s">
        <v>1570</v>
      </c>
      <c r="C25" s="1128">
        <f ca="1">ROUND(IF('数据-取费表'!B22&lt;=1,C20*F22*'数据-取费表'!B22/2,C20*(POWER((1+F22),'数据-取费表'!B22/2)-1)),0)</f>
        <v>187</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45858</v>
      </c>
      <c r="D27" s="235">
        <f ca="1">C29</f>
        <v>2E-3</v>
      </c>
      <c r="E27" s="236" t="s">
        <v>1497</v>
      </c>
      <c r="F27" s="246">
        <f ca="1">IF(B1="",'数据-取费表'!Q16,INDIRECT("'数据-取费表'!q"&amp;$G$1))</f>
        <v>0.1</v>
      </c>
      <c r="G27" s="247" t="s">
        <v>1498</v>
      </c>
    </row>
    <row r="28" spans="1:7" s="214" customFormat="1" ht="13.5" customHeight="1">
      <c r="A28" s="780" t="s">
        <v>346</v>
      </c>
      <c r="B28" s="248" t="s">
        <v>1499</v>
      </c>
      <c r="C28" s="249">
        <f ca="1">ROUND((C5+C19+C20)*F27,0)</f>
        <v>45858</v>
      </c>
      <c r="D28" s="235"/>
      <c r="E28" s="236"/>
      <c r="F28" s="246"/>
      <c r="G28" s="247"/>
    </row>
    <row r="29" spans="1:7" s="214" customFormat="1" ht="13.5" customHeight="1">
      <c r="A29" s="780" t="s">
        <v>347</v>
      </c>
      <c r="B29" s="248" t="s">
        <v>1500</v>
      </c>
      <c r="C29" s="238">
        <f ca="1">ROUND(C21*F27,4)</f>
        <v>2E-3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565589</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3983350</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3596704</v>
      </c>
      <c r="D34" s="217"/>
      <c r="E34" s="220"/>
      <c r="F34" s="257"/>
      <c r="G34" s="219"/>
    </row>
    <row r="35" spans="1:7" ht="13.5" customHeight="1">
      <c r="A35" s="780" t="s">
        <v>351</v>
      </c>
      <c r="B35" s="215" t="s">
        <v>1510</v>
      </c>
      <c r="C35" s="220">
        <f ca="1">ROUND(C34*F35,0)</f>
        <v>107901</v>
      </c>
      <c r="D35" s="220"/>
      <c r="E35" s="220"/>
      <c r="F35" s="259">
        <f>'数据-取费表'!B33</f>
        <v>0.03</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224794</v>
      </c>
      <c r="D37" s="217">
        <f ca="1">D19</f>
        <v>1123.97</v>
      </c>
      <c r="E37" s="249">
        <f>'数据-取费表'!B35</f>
        <v>200</v>
      </c>
      <c r="F37" s="259"/>
      <c r="G37" s="261"/>
    </row>
    <row r="38" spans="1:7" ht="13.5" customHeight="1">
      <c r="A38" s="780" t="s">
        <v>354</v>
      </c>
      <c r="B38" s="215" t="s">
        <v>1516</v>
      </c>
      <c r="C38" s="220">
        <f ca="1">ROUND(C34*F38,0)</f>
        <v>53951</v>
      </c>
      <c r="D38" s="220"/>
      <c r="E38" s="220"/>
      <c r="F38" s="259">
        <f>'数据-取费表'!B36</f>
        <v>1.4999999999999999E-2</v>
      </c>
      <c r="G38" s="219" t="s">
        <v>1511</v>
      </c>
    </row>
    <row r="39" spans="1:7" s="214" customFormat="1" ht="13.5" customHeight="1">
      <c r="A39" s="255" t="s">
        <v>1517</v>
      </c>
      <c r="B39" s="210" t="s">
        <v>1518</v>
      </c>
      <c r="C39" s="232">
        <f ca="1">ROUND(C33*F20,0)</f>
        <v>79667</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84308</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82655</v>
      </c>
      <c r="D42" s="238"/>
      <c r="E42" s="238"/>
      <c r="F42" s="239"/>
      <c r="G42" s="3680" t="s">
        <v>1574</v>
      </c>
    </row>
    <row r="43" spans="1:7" ht="13.5" customHeight="1">
      <c r="A43" s="780" t="s">
        <v>347</v>
      </c>
      <c r="B43" s="215" t="s">
        <v>1528</v>
      </c>
      <c r="C43" s="238">
        <f ca="1">ROUND(IF('数据-取费表'!B22&lt;=1,C39*F22*'数据-取费表'!B20/2,C39*(POWER((1+F22),'数据-取费表'!B20/2)-1)),0)</f>
        <v>1653</v>
      </c>
      <c r="D43" s="238"/>
      <c r="E43" s="238"/>
      <c r="F43" s="239"/>
      <c r="G43" s="3681"/>
    </row>
    <row r="44" spans="1:7" ht="13.5" customHeight="1">
      <c r="A44" s="780" t="s">
        <v>348</v>
      </c>
      <c r="B44" s="215" t="s">
        <v>1529</v>
      </c>
      <c r="C44" s="238">
        <f ca="1">ROUND(IF('数据-取费表'!B22&lt;=1,C40*F22*'数据-取费表'!B20/2,C40*(POWER((1+F22),'数据-取费表'!B20/2)-1)),4)</f>
        <v>4.0000000000000002E-4</v>
      </c>
      <c r="D44" s="238"/>
      <c r="E44" s="238"/>
      <c r="F44" s="239"/>
      <c r="G44" s="3682"/>
    </row>
    <row r="45" spans="1:7" s="214" customFormat="1" ht="13.5" customHeight="1">
      <c r="A45" s="255" t="s">
        <v>1530</v>
      </c>
      <c r="B45" s="244" t="s">
        <v>1496</v>
      </c>
      <c r="C45" s="245">
        <f ca="1">C46</f>
        <v>406302</v>
      </c>
      <c r="D45" s="235">
        <f ca="1">C47</f>
        <v>2E-3</v>
      </c>
      <c r="E45" s="236" t="s">
        <v>1522</v>
      </c>
      <c r="F45" s="246">
        <f ca="1">F27</f>
        <v>0.1</v>
      </c>
      <c r="G45" s="247" t="s">
        <v>1531</v>
      </c>
    </row>
    <row r="46" spans="1:7" s="214" customFormat="1" ht="13.5" customHeight="1">
      <c r="A46" s="780" t="s">
        <v>346</v>
      </c>
      <c r="B46" s="248" t="s">
        <v>1532</v>
      </c>
      <c r="C46" s="249">
        <f ca="1">ROUND((C33+C39)*F27,0)</f>
        <v>406302</v>
      </c>
      <c r="D46" s="263"/>
      <c r="E46" s="236"/>
      <c r="F46" s="246"/>
      <c r="G46" s="247"/>
    </row>
    <row r="47" spans="1:7" s="214" customFormat="1" ht="13.5" customHeight="1">
      <c r="A47" s="780" t="s">
        <v>347</v>
      </c>
      <c r="B47" s="248" t="s">
        <v>1533</v>
      </c>
      <c r="C47" s="238">
        <f ca="1">ROUND(C40*F27,4)</f>
        <v>2E-3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4921776</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4675687</v>
      </c>
      <c r="D51" s="232"/>
      <c r="E51" s="232"/>
      <c r="F51" s="264"/>
      <c r="G51" s="234" t="s">
        <v>1543</v>
      </c>
    </row>
    <row r="52" spans="1:7" s="208" customFormat="1" ht="16.5" thickBot="1">
      <c r="A52" s="265" t="s">
        <v>1544</v>
      </c>
      <c r="B52" s="266"/>
      <c r="C52" s="267">
        <f ca="1">C31+C51</f>
        <v>5241276</v>
      </c>
      <c r="D52" s="266"/>
      <c r="E52" s="266"/>
      <c r="F52" s="266"/>
      <c r="G52" s="268"/>
    </row>
    <row r="55" spans="1:7" ht="15">
      <c r="B55" s="270" t="s">
        <v>1545</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0.03</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1123.97</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1123.97</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1123.97</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5" t="s">
        <v>694</v>
      </c>
      <c r="C6" s="1074">
        <f ca="1">ROUND(F6*F8*F7*(1-F9)/10000,0)</f>
        <v>0</v>
      </c>
      <c r="D6" s="155" t="s">
        <v>2091</v>
      </c>
      <c r="E6" s="302" t="s">
        <v>696</v>
      </c>
      <c r="F6" s="303">
        <f ca="1">INDIRECT("'数据-取费表'!u"&amp;$G$1)</f>
        <v>0</v>
      </c>
      <c r="G6" s="1384"/>
      <c r="H6" s="1069" t="s">
        <v>398</v>
      </c>
      <c r="I6" s="3685" t="s">
        <v>694</v>
      </c>
      <c r="J6" s="301">
        <f ca="1">ROUND(M6*M8*M7*(1-M9)/10000,0)</f>
        <v>0</v>
      </c>
      <c r="K6" s="155" t="s">
        <v>2090</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5" t="s">
        <v>694</v>
      </c>
      <c r="C6" s="1074">
        <f ca="1">ROUND(F6*F8*F7*(1-F9),0)</f>
        <v>0</v>
      </c>
      <c r="D6" s="155" t="s">
        <v>2088</v>
      </c>
      <c r="E6" s="302" t="s">
        <v>696</v>
      </c>
      <c r="F6" s="303">
        <f ca="1">INDIRECT("'数据-取费表'!u"&amp;$G$1)</f>
        <v>0</v>
      </c>
      <c r="G6" s="1384"/>
      <c r="H6" s="1069" t="s">
        <v>398</v>
      </c>
      <c r="I6" s="3685" t="s">
        <v>694</v>
      </c>
      <c r="J6" s="301">
        <f ca="1">ROUND(M6*M8*M7*(1-M9),0)</f>
        <v>0</v>
      </c>
      <c r="K6" s="1376" t="s">
        <v>2089</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694" t="s">
        <v>2295</v>
      </c>
      <c r="K2" s="3695"/>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696" t="s">
        <v>2305</v>
      </c>
      <c r="K3" s="3697"/>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696" t="s">
        <v>2307</v>
      </c>
      <c r="K4" s="3697"/>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702" t="s">
        <v>2311</v>
      </c>
      <c r="B6" s="3703"/>
      <c r="C6" s="3704"/>
      <c r="D6" s="2845"/>
      <c r="E6" s="2846"/>
      <c r="F6" s="2847"/>
      <c r="G6" s="2848"/>
      <c r="H6" s="2823"/>
      <c r="I6" s="2824"/>
      <c r="J6" s="3688">
        <v>1</v>
      </c>
      <c r="K6" s="3689"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688"/>
      <c r="K7" s="3690"/>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705" t="s">
        <v>2325</v>
      </c>
      <c r="C8" s="3706"/>
      <c r="D8" s="2864" t="s">
        <v>2326</v>
      </c>
      <c r="E8" s="2865" t="s">
        <v>2327</v>
      </c>
      <c r="F8" s="2866" t="s">
        <v>2328</v>
      </c>
      <c r="G8" s="2867"/>
      <c r="H8" s="2823"/>
      <c r="I8" s="2824"/>
      <c r="J8" s="3688"/>
      <c r="K8" s="3690"/>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705" t="s">
        <v>2331</v>
      </c>
      <c r="C9" s="3706"/>
      <c r="D9" s="2864">
        <f>ROUND(D6*E9,0)</f>
        <v>0</v>
      </c>
      <c r="E9" s="2868"/>
      <c r="F9" s="2869" t="s">
        <v>2332</v>
      </c>
      <c r="G9" s="2848"/>
      <c r="H9" s="2823"/>
      <c r="I9" s="2824"/>
      <c r="J9" s="3688"/>
      <c r="K9" s="3690"/>
      <c r="L9" s="2858" t="s">
        <v>2333</v>
      </c>
      <c r="M9" s="2859"/>
      <c r="N9" s="2835"/>
      <c r="O9" s="2860"/>
      <c r="P9" s="2860"/>
      <c r="Q9" s="2861">
        <v>365</v>
      </c>
      <c r="R9" s="2862">
        <f t="shared" si="0"/>
        <v>0</v>
      </c>
      <c r="S9" s="2816"/>
      <c r="T9" s="2816"/>
      <c r="U9" s="2816"/>
      <c r="V9" s="2824"/>
    </row>
    <row r="10" spans="1:22" s="2828" customFormat="1" ht="13.15" customHeight="1">
      <c r="A10" s="2863">
        <v>2</v>
      </c>
      <c r="B10" s="3705" t="s">
        <v>2334</v>
      </c>
      <c r="C10" s="3706"/>
      <c r="D10" s="2864">
        <f>ROUND(D6*E10,0)</f>
        <v>0</v>
      </c>
      <c r="E10" s="2868"/>
      <c r="F10" s="2869" t="s">
        <v>2335</v>
      </c>
      <c r="G10" s="2848"/>
      <c r="H10" s="2823"/>
      <c r="I10" s="2824"/>
      <c r="J10" s="3688"/>
      <c r="K10" s="3690"/>
      <c r="L10" s="2858" t="s">
        <v>2336</v>
      </c>
      <c r="M10" s="2859"/>
      <c r="N10" s="2835"/>
      <c r="O10" s="2860"/>
      <c r="P10" s="2860"/>
      <c r="Q10" s="2861">
        <v>365</v>
      </c>
      <c r="R10" s="2862">
        <f t="shared" si="0"/>
        <v>0</v>
      </c>
      <c r="S10" s="2816"/>
      <c r="T10" s="2816"/>
      <c r="U10" s="2816"/>
      <c r="V10" s="2824"/>
    </row>
    <row r="11" spans="1:22" s="2828" customFormat="1" ht="13.15" customHeight="1">
      <c r="A11" s="2863">
        <v>3</v>
      </c>
      <c r="B11" s="3705" t="s">
        <v>2337</v>
      </c>
      <c r="C11" s="3706"/>
      <c r="D11" s="2864">
        <f>D12+D14+D15+D16</f>
        <v>0</v>
      </c>
      <c r="E11" s="2870" t="e">
        <f>D11/D6</f>
        <v>#DIV/0!</v>
      </c>
      <c r="F11" s="2866"/>
      <c r="G11" s="2867"/>
      <c r="H11" s="2823"/>
      <c r="I11" s="2824"/>
      <c r="J11" s="3688"/>
      <c r="K11" s="3690"/>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698" t="s">
        <v>2340</v>
      </c>
      <c r="C12" s="3699"/>
      <c r="D12" s="2872">
        <f>ROUND(D13*1.2%*(1-30%),0)</f>
        <v>0</v>
      </c>
      <c r="E12" s="2873">
        <v>1.2E-2</v>
      </c>
      <c r="F12" s="2866" t="s">
        <v>2341</v>
      </c>
      <c r="G12" s="2867"/>
      <c r="H12" s="2823"/>
      <c r="I12" s="2824"/>
      <c r="J12" s="3688"/>
      <c r="K12" s="3690"/>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688"/>
      <c r="K13" s="3690"/>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698" t="s">
        <v>2346</v>
      </c>
      <c r="C14" s="3699"/>
      <c r="D14" s="2872">
        <f>ROUND(E14*B5/10000,0)</f>
        <v>0</v>
      </c>
      <c r="E14" s="2861"/>
      <c r="F14" s="2866" t="s">
        <v>2347</v>
      </c>
      <c r="G14" s="2867"/>
      <c r="H14" s="2823"/>
      <c r="I14" s="2824"/>
      <c r="J14" s="3688"/>
      <c r="K14" s="3691"/>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698" t="s">
        <v>2350</v>
      </c>
      <c r="C15" s="3699"/>
      <c r="D15" s="2872">
        <f>ROUND(D6*E15,0)</f>
        <v>0</v>
      </c>
      <c r="E15" s="2873">
        <v>5.5E-2</v>
      </c>
      <c r="F15" s="2866" t="s">
        <v>2351</v>
      </c>
      <c r="G15" s="2848"/>
      <c r="H15" s="2823"/>
      <c r="I15" s="2824"/>
      <c r="J15" s="3688">
        <v>2</v>
      </c>
      <c r="K15" s="3689"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698" t="s">
        <v>2359</v>
      </c>
      <c r="C16" s="3699"/>
      <c r="D16" s="2883">
        <f>D6*E16</f>
        <v>0</v>
      </c>
      <c r="E16" s="2884"/>
      <c r="F16" s="2869" t="s">
        <v>2360</v>
      </c>
      <c r="G16" s="2848"/>
      <c r="H16" s="2823"/>
      <c r="I16" s="2824"/>
      <c r="J16" s="3688"/>
      <c r="K16" s="3690"/>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00" t="s">
        <v>2362</v>
      </c>
      <c r="C17" s="3701"/>
      <c r="D17" s="2886">
        <f>ROUND(D6*E17,0)</f>
        <v>0</v>
      </c>
      <c r="E17" s="2887"/>
      <c r="F17" s="2888" t="s">
        <v>2363</v>
      </c>
      <c r="G17" s="2848"/>
      <c r="H17" s="2823"/>
      <c r="I17" s="2824"/>
      <c r="J17" s="3688"/>
      <c r="K17" s="3690"/>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688"/>
      <c r="K18" s="3690"/>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688"/>
      <c r="K19" s="3691"/>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688">
        <v>3</v>
      </c>
      <c r="K20" s="3689"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688"/>
      <c r="K21" s="3690"/>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688"/>
      <c r="K22" s="3690"/>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688"/>
      <c r="K23" s="3690"/>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688"/>
      <c r="K24" s="3691"/>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692">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693"/>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694" t="s">
        <v>2295</v>
      </c>
      <c r="K32" s="3695"/>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696" t="s">
        <v>2305</v>
      </c>
      <c r="K33" s="3697"/>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696" t="s">
        <v>2307</v>
      </c>
      <c r="K34" s="3697"/>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688">
        <v>1</v>
      </c>
      <c r="K36" s="3689"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688"/>
      <c r="K37" s="3690"/>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688"/>
      <c r="K38" s="3690"/>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688"/>
      <c r="K39" s="3690"/>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688"/>
      <c r="K40" s="3691"/>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692">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693"/>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07" t="s">
        <v>1637</v>
      </c>
      <c r="C5" s="3708"/>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1123.97</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52" t="s">
        <v>1650</v>
      </c>
      <c r="D4" s="3653"/>
      <c r="E4" s="3654" t="s">
        <v>1651</v>
      </c>
      <c r="F4" s="3655"/>
      <c r="G4" s="3652" t="s">
        <v>1652</v>
      </c>
      <c r="H4" s="3653"/>
      <c r="I4" s="3652" t="s">
        <v>1653</v>
      </c>
      <c r="J4" s="3653"/>
      <c r="K4" s="1889" t="s">
        <v>1654</v>
      </c>
      <c r="L4" s="2690"/>
      <c r="M4" s="2691"/>
      <c r="N4" s="2691"/>
      <c r="O4" s="2691"/>
      <c r="P4" s="3656" t="s">
        <v>1655</v>
      </c>
      <c r="Q4" s="3657"/>
      <c r="R4" s="3662" t="s">
        <v>1651</v>
      </c>
      <c r="S4" s="3663"/>
      <c r="T4" s="3662" t="s">
        <v>1652</v>
      </c>
      <c r="U4" s="3663"/>
      <c r="V4" s="3647" t="s">
        <v>1653</v>
      </c>
      <c r="W4" s="3647"/>
      <c r="X4" s="1355"/>
      <c r="Y4" s="3662" t="s">
        <v>1655</v>
      </c>
      <c r="Z4" s="3663"/>
      <c r="AA4" s="3649" t="s">
        <v>1651</v>
      </c>
      <c r="AB4" s="3649" t="s">
        <v>1652</v>
      </c>
      <c r="AC4" s="3649" t="s">
        <v>1653</v>
      </c>
    </row>
    <row r="5" spans="1:29" ht="15">
      <c r="A5" s="358"/>
      <c r="B5" s="359"/>
      <c r="C5" s="3670" t="s">
        <v>1656</v>
      </c>
      <c r="D5" s="3671"/>
      <c r="E5" s="3678" t="s">
        <v>1657</v>
      </c>
      <c r="F5" s="3679"/>
      <c r="G5" s="3670" t="s">
        <v>1658</v>
      </c>
      <c r="H5" s="3671"/>
      <c r="I5" s="3670" t="s">
        <v>1659</v>
      </c>
      <c r="J5" s="3671"/>
      <c r="K5" s="1890"/>
      <c r="L5" s="2690"/>
      <c r="M5" s="2691"/>
      <c r="N5" s="2691"/>
      <c r="O5" s="2691"/>
      <c r="P5" s="3658"/>
      <c r="Q5" s="3659"/>
      <c r="R5" s="3664"/>
      <c r="S5" s="3665"/>
      <c r="T5" s="3664"/>
      <c r="U5" s="3665"/>
      <c r="V5" s="3647"/>
      <c r="W5" s="3647"/>
      <c r="X5" s="1355"/>
      <c r="Y5" s="3664"/>
      <c r="Z5" s="3665"/>
      <c r="AA5" s="3650"/>
      <c r="AB5" s="3650"/>
      <c r="AC5" s="3650"/>
    </row>
    <row r="6" spans="1:29" ht="15.75" thickBot="1">
      <c r="A6" s="360"/>
      <c r="B6" s="361"/>
      <c r="C6" s="3709" t="s">
        <v>1660</v>
      </c>
      <c r="D6" s="3669"/>
      <c r="E6" s="3710" t="s">
        <v>1660</v>
      </c>
      <c r="F6" s="3677"/>
      <c r="G6" s="3709" t="s">
        <v>1660</v>
      </c>
      <c r="H6" s="3669"/>
      <c r="I6" s="3709" t="s">
        <v>1660</v>
      </c>
      <c r="J6" s="3669"/>
      <c r="K6" s="1890" t="s">
        <v>1661</v>
      </c>
      <c r="L6" s="2690"/>
      <c r="M6" s="2691"/>
      <c r="N6" s="2691"/>
      <c r="O6" s="2691"/>
      <c r="P6" s="3660"/>
      <c r="Q6" s="3661"/>
      <c r="R6" s="3664"/>
      <c r="S6" s="3665"/>
      <c r="T6" s="3666"/>
      <c r="U6" s="3667"/>
      <c r="V6" s="3647"/>
      <c r="W6" s="3647"/>
      <c r="X6" s="1355"/>
      <c r="Y6" s="3666"/>
      <c r="Z6" s="3667"/>
      <c r="AA6" s="3651"/>
      <c r="AB6" s="3651"/>
      <c r="AC6" s="3651"/>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72" t="s">
        <v>1663</v>
      </c>
      <c r="Q7" s="3674"/>
      <c r="R7" s="701" t="s">
        <v>20</v>
      </c>
      <c r="S7" s="702">
        <f t="shared" ref="S7:S15" si="0">F7</f>
        <v>0</v>
      </c>
      <c r="T7" s="701" t="s">
        <v>20</v>
      </c>
      <c r="U7" s="702">
        <f t="shared" ref="U7:U15" si="1">H7</f>
        <v>0</v>
      </c>
      <c r="V7" s="701" t="s">
        <v>20</v>
      </c>
      <c r="W7" s="702">
        <f t="shared" ref="W7:W15" si="2">J7</f>
        <v>0</v>
      </c>
      <c r="X7" s="703"/>
      <c r="Y7" s="3672" t="s">
        <v>1663</v>
      </c>
      <c r="Z7" s="3673"/>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72" t="s">
        <v>1666</v>
      </c>
      <c r="Q8" s="3673"/>
      <c r="R8" s="701" t="s">
        <v>20</v>
      </c>
      <c r="S8" s="702">
        <f t="shared" si="0"/>
        <v>100</v>
      </c>
      <c r="T8" s="701" t="s">
        <v>20</v>
      </c>
      <c r="U8" s="702">
        <f t="shared" si="1"/>
        <v>100</v>
      </c>
      <c r="V8" s="701" t="s">
        <v>20</v>
      </c>
      <c r="W8" s="702">
        <f t="shared" si="2"/>
        <v>100</v>
      </c>
      <c r="X8" s="703"/>
      <c r="Y8" s="3672" t="s">
        <v>1666</v>
      </c>
      <c r="Z8" s="3673"/>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48"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48"/>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48"/>
      <c r="Q11" s="1343" t="str">
        <f t="shared" si="6"/>
        <v>容积率</v>
      </c>
      <c r="R11" s="701" t="s">
        <v>18</v>
      </c>
      <c r="S11" s="702" t="e">
        <f t="shared" si="0"/>
        <v>#N/A</v>
      </c>
      <c r="T11" s="701" t="s">
        <v>18</v>
      </c>
      <c r="U11" s="702" t="e">
        <f t="shared" si="1"/>
        <v>#N/A</v>
      </c>
      <c r="V11" s="701" t="s">
        <v>18</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48"/>
      <c r="Q12" s="1343">
        <f t="shared" si="6"/>
        <v>111</v>
      </c>
      <c r="R12" s="701" t="s">
        <v>18</v>
      </c>
      <c r="S12" s="702">
        <f t="shared" si="0"/>
        <v>100</v>
      </c>
      <c r="T12" s="701" t="s">
        <v>18</v>
      </c>
      <c r="U12" s="702">
        <f t="shared" si="1"/>
        <v>100</v>
      </c>
      <c r="V12" s="701" t="s">
        <v>18</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48"/>
      <c r="Q13" s="1343">
        <f t="shared" si="6"/>
        <v>111</v>
      </c>
      <c r="R13" s="701" t="s">
        <v>18</v>
      </c>
      <c r="S13" s="702">
        <f t="shared" si="0"/>
        <v>100</v>
      </c>
      <c r="T13" s="701" t="s">
        <v>18</v>
      </c>
      <c r="U13" s="702">
        <f t="shared" si="1"/>
        <v>100</v>
      </c>
      <c r="V13" s="701" t="s">
        <v>18</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48"/>
      <c r="Q14" s="1343">
        <f t="shared" si="6"/>
        <v>111</v>
      </c>
      <c r="R14" s="701" t="s">
        <v>18</v>
      </c>
      <c r="S14" s="702">
        <f t="shared" si="0"/>
        <v>100</v>
      </c>
      <c r="T14" s="701" t="s">
        <v>18</v>
      </c>
      <c r="U14" s="702">
        <f t="shared" si="1"/>
        <v>100</v>
      </c>
      <c r="V14" s="701" t="s">
        <v>18</v>
      </c>
      <c r="W14" s="702">
        <f t="shared" si="2"/>
        <v>100</v>
      </c>
      <c r="X14" s="703"/>
      <c r="Y14" s="3542"/>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38" t="s">
        <v>1674</v>
      </c>
      <c r="Q15" s="1352" t="str">
        <f t="shared" si="6"/>
        <v>居住社区成熟度</v>
      </c>
      <c r="R15" s="705" t="s">
        <v>18</v>
      </c>
      <c r="S15" s="706">
        <f t="shared" si="0"/>
        <v>100</v>
      </c>
      <c r="T15" s="705" t="s">
        <v>18</v>
      </c>
      <c r="U15" s="706">
        <f t="shared" si="1"/>
        <v>100</v>
      </c>
      <c r="V15" s="705" t="s">
        <v>18</v>
      </c>
      <c r="W15" s="706">
        <f t="shared" si="2"/>
        <v>100</v>
      </c>
      <c r="X15" s="1355"/>
      <c r="Y15" s="3640"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39"/>
      <c r="Q16" s="1352"/>
      <c r="R16" s="705"/>
      <c r="S16" s="706"/>
      <c r="T16" s="705"/>
      <c r="U16" s="706"/>
      <c r="V16" s="705"/>
      <c r="W16" s="706"/>
      <c r="X16" s="1355"/>
      <c r="Y16" s="3641"/>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39"/>
      <c r="Q17" s="1352" t="str">
        <f>B17</f>
        <v>交通便捷度</v>
      </c>
      <c r="R17" s="705" t="s">
        <v>18</v>
      </c>
      <c r="S17" s="706">
        <f>F17</f>
        <v>100</v>
      </c>
      <c r="T17" s="705" t="s">
        <v>18</v>
      </c>
      <c r="U17" s="706">
        <f>H17</f>
        <v>100</v>
      </c>
      <c r="V17" s="705" t="s">
        <v>18</v>
      </c>
      <c r="W17" s="706">
        <f>J17</f>
        <v>100</v>
      </c>
      <c r="X17" s="1355"/>
      <c r="Y17" s="364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39"/>
      <c r="Q18" s="1352"/>
      <c r="R18" s="705"/>
      <c r="S18" s="706"/>
      <c r="T18" s="705"/>
      <c r="U18" s="706"/>
      <c r="V18" s="705"/>
      <c r="W18" s="706"/>
      <c r="X18" s="1355"/>
      <c r="Y18" s="3641"/>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39"/>
      <c r="Q19" s="1352" t="str">
        <f>B19</f>
        <v>公共配套设施</v>
      </c>
      <c r="R19" s="705" t="s">
        <v>18</v>
      </c>
      <c r="S19" s="706">
        <f>F19</f>
        <v>100</v>
      </c>
      <c r="T19" s="705" t="s">
        <v>18</v>
      </c>
      <c r="U19" s="706">
        <f>H19</f>
        <v>100</v>
      </c>
      <c r="V19" s="705" t="s">
        <v>18</v>
      </c>
      <c r="W19" s="706">
        <f>J19</f>
        <v>100</v>
      </c>
      <c r="X19" s="1355"/>
      <c r="Y19" s="364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39"/>
      <c r="Q20" s="1352"/>
      <c r="R20" s="705"/>
      <c r="S20" s="706"/>
      <c r="T20" s="705"/>
      <c r="U20" s="706"/>
      <c r="V20" s="705"/>
      <c r="W20" s="706"/>
      <c r="X20" s="1355"/>
      <c r="Y20" s="3641"/>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39"/>
      <c r="Q22" s="1352"/>
      <c r="R22" s="705"/>
      <c r="S22" s="706"/>
      <c r="T22" s="705"/>
      <c r="U22" s="706"/>
      <c r="V22" s="705"/>
      <c r="W22" s="706"/>
      <c r="X22" s="1355"/>
      <c r="Y22" s="3641"/>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39"/>
      <c r="Q23" s="1352" t="str">
        <f>B23</f>
        <v>自然及人文环境</v>
      </c>
      <c r="R23" s="705" t="s">
        <v>18</v>
      </c>
      <c r="S23" s="706">
        <f>F23</f>
        <v>100</v>
      </c>
      <c r="T23" s="705" t="s">
        <v>18</v>
      </c>
      <c r="U23" s="706">
        <f>H23</f>
        <v>100</v>
      </c>
      <c r="V23" s="705" t="s">
        <v>18</v>
      </c>
      <c r="W23" s="706">
        <f>J23</f>
        <v>100</v>
      </c>
      <c r="X23" s="1355"/>
      <c r="Y23" s="364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39"/>
      <c r="Q24" s="1352"/>
      <c r="R24" s="705"/>
      <c r="S24" s="706"/>
      <c r="T24" s="705"/>
      <c r="U24" s="706"/>
      <c r="V24" s="705"/>
      <c r="W24" s="706"/>
      <c r="X24" s="1355"/>
      <c r="Y24" s="3641"/>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3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41"/>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39"/>
      <c r="Q26" s="1352" t="str">
        <f t="shared" si="11"/>
        <v>朝向</v>
      </c>
      <c r="R26" s="705" t="s">
        <v>18</v>
      </c>
      <c r="S26" s="706">
        <f t="shared" si="12"/>
        <v>100</v>
      </c>
      <c r="T26" s="705" t="s">
        <v>18</v>
      </c>
      <c r="U26" s="706">
        <f t="shared" si="13"/>
        <v>100</v>
      </c>
      <c r="V26" s="705" t="s">
        <v>18</v>
      </c>
      <c r="W26" s="706">
        <f t="shared" si="14"/>
        <v>100</v>
      </c>
      <c r="X26" s="1355"/>
      <c r="Y26" s="364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39"/>
      <c r="Q27" s="1343">
        <f t="shared" si="11"/>
        <v>111</v>
      </c>
      <c r="R27" s="701" t="s">
        <v>18</v>
      </c>
      <c r="S27" s="702">
        <f t="shared" si="12"/>
        <v>100</v>
      </c>
      <c r="T27" s="701" t="s">
        <v>18</v>
      </c>
      <c r="U27" s="702">
        <f t="shared" si="13"/>
        <v>100</v>
      </c>
      <c r="V27" s="701" t="s">
        <v>18</v>
      </c>
      <c r="W27" s="702">
        <f t="shared" si="14"/>
        <v>100</v>
      </c>
      <c r="X27" s="703"/>
      <c r="Y27" s="364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39"/>
      <c r="Q28" s="1352">
        <f t="shared" si="11"/>
        <v>111</v>
      </c>
      <c r="R28" s="705" t="s">
        <v>18</v>
      </c>
      <c r="S28" s="706">
        <f t="shared" si="12"/>
        <v>100</v>
      </c>
      <c r="T28" s="705" t="s">
        <v>18</v>
      </c>
      <c r="U28" s="706">
        <f t="shared" si="13"/>
        <v>100</v>
      </c>
      <c r="V28" s="705" t="s">
        <v>18</v>
      </c>
      <c r="W28" s="706">
        <f t="shared" si="14"/>
        <v>100</v>
      </c>
      <c r="X28" s="1355"/>
      <c r="Y28" s="364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39"/>
      <c r="Q29" s="1352">
        <f t="shared" si="11"/>
        <v>111</v>
      </c>
      <c r="R29" s="705" t="s">
        <v>18</v>
      </c>
      <c r="S29" s="706">
        <f t="shared" si="12"/>
        <v>100</v>
      </c>
      <c r="T29" s="705" t="s">
        <v>18</v>
      </c>
      <c r="U29" s="706">
        <f t="shared" si="13"/>
        <v>100</v>
      </c>
      <c r="V29" s="705" t="s">
        <v>18</v>
      </c>
      <c r="W29" s="706">
        <f t="shared" si="14"/>
        <v>100</v>
      </c>
      <c r="X29" s="1355"/>
      <c r="Y29" s="364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39"/>
      <c r="Q30" s="1352">
        <f t="shared" si="11"/>
        <v>111</v>
      </c>
      <c r="R30" s="705" t="s">
        <v>18</v>
      </c>
      <c r="S30" s="706">
        <f t="shared" si="12"/>
        <v>100</v>
      </c>
      <c r="T30" s="705" t="s">
        <v>18</v>
      </c>
      <c r="U30" s="706">
        <f t="shared" si="13"/>
        <v>100</v>
      </c>
      <c r="V30" s="705" t="s">
        <v>18</v>
      </c>
      <c r="W30" s="706">
        <f t="shared" si="14"/>
        <v>100</v>
      </c>
      <c r="X30" s="1355"/>
      <c r="Y30" s="364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39"/>
      <c r="Q31" s="1352">
        <f t="shared" si="11"/>
        <v>111</v>
      </c>
      <c r="R31" s="705" t="s">
        <v>18</v>
      </c>
      <c r="S31" s="706">
        <f t="shared" si="12"/>
        <v>100</v>
      </c>
      <c r="T31" s="705" t="s">
        <v>18</v>
      </c>
      <c r="U31" s="706">
        <f t="shared" si="13"/>
        <v>100</v>
      </c>
      <c r="V31" s="705" t="s">
        <v>18</v>
      </c>
      <c r="W31" s="706">
        <f t="shared" si="14"/>
        <v>100</v>
      </c>
      <c r="X31" s="1355"/>
      <c r="Y31" s="3641"/>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42" t="s">
        <v>1679</v>
      </c>
      <c r="Q32" s="1352" t="str">
        <f t="shared" si="11"/>
        <v>建筑类型</v>
      </c>
      <c r="R32" s="705" t="s">
        <v>18</v>
      </c>
      <c r="S32" s="706">
        <f t="shared" si="12"/>
        <v>100</v>
      </c>
      <c r="T32" s="705" t="s">
        <v>18</v>
      </c>
      <c r="U32" s="706">
        <f t="shared" si="13"/>
        <v>100</v>
      </c>
      <c r="V32" s="705" t="s">
        <v>18</v>
      </c>
      <c r="W32" s="706">
        <f t="shared" si="14"/>
        <v>100</v>
      </c>
      <c r="X32" s="1355"/>
      <c r="Y32" s="3645"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43"/>
      <c r="Q33" s="707" t="str">
        <f t="shared" si="11"/>
        <v>项目建筑规模</v>
      </c>
      <c r="R33" s="708" t="s">
        <v>18</v>
      </c>
      <c r="S33" s="709" t="e">
        <f t="shared" si="12"/>
        <v>#N/A</v>
      </c>
      <c r="T33" s="708" t="s">
        <v>18</v>
      </c>
      <c r="U33" s="709" t="e">
        <f t="shared" si="13"/>
        <v>#N/A</v>
      </c>
      <c r="V33" s="708" t="s">
        <v>18</v>
      </c>
      <c r="W33" s="709" t="e">
        <f t="shared" si="14"/>
        <v>#N/A</v>
      </c>
      <c r="X33" s="710"/>
      <c r="Y33" s="3645"/>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43"/>
      <c r="Q34" s="1352" t="str">
        <f t="shared" si="11"/>
        <v>建筑结构</v>
      </c>
      <c r="R34" s="705" t="s">
        <v>18</v>
      </c>
      <c r="S34" s="706">
        <f t="shared" si="12"/>
        <v>100</v>
      </c>
      <c r="T34" s="705" t="s">
        <v>18</v>
      </c>
      <c r="U34" s="706">
        <f t="shared" si="13"/>
        <v>100</v>
      </c>
      <c r="V34" s="705" t="s">
        <v>18</v>
      </c>
      <c r="W34" s="706">
        <f t="shared" si="14"/>
        <v>100</v>
      </c>
      <c r="X34" s="1355"/>
      <c r="Y34" s="3645"/>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43"/>
      <c r="Q35" s="1352" t="str">
        <f t="shared" si="11"/>
        <v>建筑品质</v>
      </c>
      <c r="R35" s="705" t="s">
        <v>18</v>
      </c>
      <c r="S35" s="706">
        <f t="shared" si="12"/>
        <v>100</v>
      </c>
      <c r="T35" s="705" t="s">
        <v>18</v>
      </c>
      <c r="U35" s="706">
        <f t="shared" si="13"/>
        <v>100</v>
      </c>
      <c r="V35" s="705" t="s">
        <v>18</v>
      </c>
      <c r="W35" s="706">
        <f t="shared" si="14"/>
        <v>100</v>
      </c>
      <c r="X35" s="1355"/>
      <c r="Y35" s="3645"/>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43"/>
      <c r="Q36" s="1352" t="str">
        <f t="shared" si="11"/>
        <v>公共部分装修</v>
      </c>
      <c r="R36" s="705" t="s">
        <v>18</v>
      </c>
      <c r="S36" s="706">
        <f t="shared" si="12"/>
        <v>100</v>
      </c>
      <c r="T36" s="705" t="s">
        <v>18</v>
      </c>
      <c r="U36" s="706">
        <f t="shared" si="13"/>
        <v>100</v>
      </c>
      <c r="V36" s="705" t="s">
        <v>18</v>
      </c>
      <c r="W36" s="706">
        <f t="shared" si="14"/>
        <v>100</v>
      </c>
      <c r="X36" s="1355"/>
      <c r="Y36" s="3645"/>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43"/>
      <c r="Q37" s="1343" t="str">
        <f t="shared" si="11"/>
        <v>成新度</v>
      </c>
      <c r="R37" s="701" t="s">
        <v>18</v>
      </c>
      <c r="S37" s="702" t="e">
        <f t="shared" si="12"/>
        <v>#N/A</v>
      </c>
      <c r="T37" s="701" t="s">
        <v>18</v>
      </c>
      <c r="U37" s="702" t="e">
        <f t="shared" si="13"/>
        <v>#N/A</v>
      </c>
      <c r="V37" s="701" t="s">
        <v>18</v>
      </c>
      <c r="W37" s="702" t="e">
        <f t="shared" si="14"/>
        <v>#N/A</v>
      </c>
      <c r="X37" s="703"/>
      <c r="Y37" s="3645"/>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43" t="s">
        <v>1679</v>
      </c>
      <c r="Q38" s="1352" t="str">
        <f t="shared" si="11"/>
        <v>物业管理</v>
      </c>
      <c r="R38" s="705" t="s">
        <v>18</v>
      </c>
      <c r="S38" s="706">
        <f t="shared" si="12"/>
        <v>100</v>
      </c>
      <c r="T38" s="705" t="s">
        <v>18</v>
      </c>
      <c r="U38" s="706">
        <f t="shared" si="13"/>
        <v>100</v>
      </c>
      <c r="V38" s="705" t="s">
        <v>18</v>
      </c>
      <c r="W38" s="706">
        <f t="shared" si="14"/>
        <v>100</v>
      </c>
      <c r="X38" s="1355"/>
      <c r="Y38" s="3645"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43"/>
      <c r="Q39" s="1352" t="str">
        <f t="shared" si="11"/>
        <v>市政基础设施</v>
      </c>
      <c r="R39" s="705" t="s">
        <v>18</v>
      </c>
      <c r="S39" s="706">
        <f t="shared" si="12"/>
        <v>100</v>
      </c>
      <c r="T39" s="705" t="s">
        <v>18</v>
      </c>
      <c r="U39" s="706">
        <f t="shared" si="13"/>
        <v>100</v>
      </c>
      <c r="V39" s="705" t="s">
        <v>18</v>
      </c>
      <c r="W39" s="706">
        <f t="shared" si="14"/>
        <v>100</v>
      </c>
      <c r="X39" s="1355"/>
      <c r="Y39" s="3645"/>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43"/>
      <c r="Q40" s="1352" t="str">
        <f t="shared" si="11"/>
        <v>房型</v>
      </c>
      <c r="R40" s="705" t="s">
        <v>18</v>
      </c>
      <c r="S40" s="706">
        <f t="shared" si="12"/>
        <v>100</v>
      </c>
      <c r="T40" s="705" t="s">
        <v>18</v>
      </c>
      <c r="U40" s="706">
        <f t="shared" si="13"/>
        <v>100</v>
      </c>
      <c r="V40" s="705" t="s">
        <v>18</v>
      </c>
      <c r="W40" s="706">
        <f t="shared" si="14"/>
        <v>100</v>
      </c>
      <c r="X40" s="1355"/>
      <c r="Y40" s="3645"/>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43"/>
      <c r="Q41" s="707" t="str">
        <f t="shared" si="11"/>
        <v>单套/主力户型建筑面积</v>
      </c>
      <c r="R41" s="708" t="s">
        <v>18</v>
      </c>
      <c r="S41" s="709">
        <f t="shared" si="12"/>
        <v>100</v>
      </c>
      <c r="T41" s="708" t="s">
        <v>18</v>
      </c>
      <c r="U41" s="709">
        <f t="shared" si="13"/>
        <v>100</v>
      </c>
      <c r="V41" s="708" t="s">
        <v>18</v>
      </c>
      <c r="W41" s="709">
        <f t="shared" si="14"/>
        <v>100</v>
      </c>
      <c r="X41" s="710"/>
      <c r="Y41" s="3645"/>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43"/>
      <c r="Q42" s="1352" t="str">
        <f t="shared" si="11"/>
        <v>内部装修</v>
      </c>
      <c r="R42" s="705" t="s">
        <v>18</v>
      </c>
      <c r="S42" s="706">
        <f t="shared" si="12"/>
        <v>100</v>
      </c>
      <c r="T42" s="705" t="s">
        <v>18</v>
      </c>
      <c r="U42" s="706">
        <f t="shared" si="13"/>
        <v>100</v>
      </c>
      <c r="V42" s="705" t="s">
        <v>18</v>
      </c>
      <c r="W42" s="706">
        <f t="shared" si="14"/>
        <v>100</v>
      </c>
      <c r="X42" s="1355"/>
      <c r="Y42" s="3645"/>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43"/>
      <c r="Q43" s="1352" t="str">
        <f t="shared" si="11"/>
        <v>内部装修维护情况</v>
      </c>
      <c r="R43" s="705" t="s">
        <v>18</v>
      </c>
      <c r="S43" s="706">
        <f t="shared" si="12"/>
        <v>100</v>
      </c>
      <c r="T43" s="705" t="s">
        <v>18</v>
      </c>
      <c r="U43" s="706">
        <f t="shared" si="13"/>
        <v>100</v>
      </c>
      <c r="V43" s="705" t="s">
        <v>18</v>
      </c>
      <c r="W43" s="706">
        <f t="shared" si="14"/>
        <v>100</v>
      </c>
      <c r="X43" s="1355"/>
      <c r="Y43" s="364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43"/>
      <c r="Q44" s="1343">
        <f t="shared" si="11"/>
        <v>111</v>
      </c>
      <c r="R44" s="701" t="s">
        <v>18</v>
      </c>
      <c r="S44" s="702">
        <f t="shared" si="12"/>
        <v>100</v>
      </c>
      <c r="T44" s="701" t="s">
        <v>18</v>
      </c>
      <c r="U44" s="702">
        <f t="shared" si="13"/>
        <v>100</v>
      </c>
      <c r="V44" s="701" t="s">
        <v>18</v>
      </c>
      <c r="W44" s="702">
        <f t="shared" si="14"/>
        <v>100</v>
      </c>
      <c r="X44" s="703"/>
      <c r="Y44" s="364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43"/>
      <c r="Q45" s="1352">
        <f t="shared" si="11"/>
        <v>111</v>
      </c>
      <c r="R45" s="705" t="s">
        <v>18</v>
      </c>
      <c r="S45" s="706">
        <f t="shared" si="12"/>
        <v>100</v>
      </c>
      <c r="T45" s="705" t="s">
        <v>18</v>
      </c>
      <c r="U45" s="706">
        <f t="shared" si="13"/>
        <v>100</v>
      </c>
      <c r="V45" s="705" t="s">
        <v>18</v>
      </c>
      <c r="W45" s="706">
        <f t="shared" si="14"/>
        <v>100</v>
      </c>
      <c r="X45" s="1355"/>
      <c r="Y45" s="364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44"/>
      <c r="Q46" s="1352">
        <f t="shared" si="11"/>
        <v>111</v>
      </c>
      <c r="R46" s="705" t="s">
        <v>17</v>
      </c>
      <c r="S46" s="706">
        <f t="shared" si="12"/>
        <v>100</v>
      </c>
      <c r="T46" s="705" t="s">
        <v>17</v>
      </c>
      <c r="U46" s="706">
        <f t="shared" si="13"/>
        <v>100</v>
      </c>
      <c r="V46" s="705" t="s">
        <v>17</v>
      </c>
      <c r="W46" s="706">
        <f t="shared" si="14"/>
        <v>100</v>
      </c>
      <c r="X46" s="1355"/>
      <c r="Y46" s="3646"/>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33" t="str">
        <f>A47</f>
        <v>成交单价（元/平方米）</v>
      </c>
      <c r="Q47" s="3633"/>
      <c r="R47" s="3634">
        <f>E47</f>
        <v>0</v>
      </c>
      <c r="S47" s="3634"/>
      <c r="T47" s="3634">
        <f>G47</f>
        <v>0</v>
      </c>
      <c r="U47" s="3634"/>
      <c r="V47" s="3634">
        <f>I47</f>
        <v>0</v>
      </c>
      <c r="W47" s="3634"/>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33" t="str">
        <f>A48</f>
        <v>比较价值（元/平方米）</v>
      </c>
      <c r="Q48" s="3633"/>
      <c r="R48" s="3634" t="e">
        <f>IF(F1="售价",ROUND(PRODUCT(R47,AA7:AA46),0),ROUND(PRODUCT(R47,AA7:AA46),1))</f>
        <v>#DIV/0!</v>
      </c>
      <c r="S48" s="3634"/>
      <c r="T48" s="3634" t="e">
        <f>IF(F1="售价",ROUND(PRODUCT(T47,AB7:AB46),0),ROUND(PRODUCT(T47,AB7:AB46),1))</f>
        <v>#DIV/0!</v>
      </c>
      <c r="U48" s="3634"/>
      <c r="V48" s="3634" t="e">
        <f>IF(F1="售价",ROUND(PRODUCT(V47,AC7:AC46),0),ROUND(PRODUCT(V47,AC7:AC46),1))</f>
        <v>#DIV/0!</v>
      </c>
      <c r="W48" s="3634"/>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35" t="str">
        <f>A49</f>
        <v>估价对象XX用房的比较价值（楼面单价，元/平方米）</v>
      </c>
      <c r="Q49" s="3636"/>
      <c r="R49" s="3637" t="e">
        <f>IF(F1="售价",ROUND(IF(D48="简单平均",AVERAGE(R48:V48),R48*F48+T48*H48+V48*J48),0),ROUND(IF(D48="简单平均",AVERAGE(R48:V48),R48*F48+T48*H48+V48*J48),1))</f>
        <v>#DIV/0!</v>
      </c>
      <c r="S49" s="3637"/>
      <c r="T49" s="3637"/>
      <c r="U49" s="3637"/>
      <c r="V49" s="3637"/>
      <c r="W49" s="3637"/>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E33" sqref="E33"/>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1123.97</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1252</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16722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11139</v>
      </c>
      <c r="C3" s="1999" t="s">
        <v>1924</v>
      </c>
      <c r="D3" s="2000" t="s">
        <v>1925</v>
      </c>
      <c r="E3" s="3396" t="s">
        <v>2417</v>
      </c>
      <c r="F3" s="2004" t="s">
        <v>3387</v>
      </c>
      <c r="G3" s="752">
        <f>IF(F3="宗地容积率",'数据-汇总表'!I4,IF(F3="估价对象容积率",'数据-汇总表'!I6,'数据-汇总表'!I7))</f>
        <v>2.5</v>
      </c>
      <c r="H3" s="170" t="s">
        <v>1926</v>
      </c>
      <c r="I3" s="775">
        <v>3</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13180</v>
      </c>
      <c r="U3" s="1213"/>
      <c r="V3" s="3337">
        <f t="shared" ref="V3:V16" si="1">ROUND(T3*U3/10000,0)</f>
        <v>0</v>
      </c>
      <c r="W3" s="1216"/>
      <c r="X3" s="1216"/>
      <c r="Y3" s="1216"/>
      <c r="Z3" s="1216"/>
      <c r="AA3" s="1216"/>
      <c r="AB3" s="1216"/>
      <c r="AC3" s="1217"/>
      <c r="AD3" s="1218"/>
      <c r="AE3" s="1218"/>
      <c r="AF3" s="1218"/>
      <c r="AG3" s="1218"/>
      <c r="AH3" s="1218"/>
      <c r="AI3" s="1218"/>
      <c r="AJ3" s="1219"/>
    </row>
    <row r="4" spans="1:36" ht="15.75">
      <c r="A4" s="3718"/>
      <c r="B4" s="3719"/>
      <c r="C4" s="3719"/>
      <c r="D4" s="3720"/>
      <c r="E4" s="3720"/>
      <c r="F4" s="3720"/>
      <c r="G4" s="3720"/>
      <c r="H4" s="3720"/>
      <c r="I4" s="3720"/>
      <c r="J4" s="3721"/>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11140</v>
      </c>
      <c r="U4" s="1213">
        <f>'数据-汇总表'!F27</f>
        <v>1123.97</v>
      </c>
      <c r="V4" s="3337">
        <f t="shared" si="1"/>
        <v>1252</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11180</v>
      </c>
      <c r="D5" s="1339">
        <f>ROUND(C6*C17+C20,0)</f>
        <v>11180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9825</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9442</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3388</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15" t="s">
        <v>1943</v>
      </c>
      <c r="X8" s="3716"/>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17"/>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17"/>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22" t="s">
        <v>3238</v>
      </c>
      <c r="B20" s="167" t="s">
        <v>1977</v>
      </c>
      <c r="C20" s="3301">
        <f>ROUND(IF(F21="与级别开发程度一致",0,(G21-E21)/C21),0)</f>
        <v>0</v>
      </c>
      <c r="D20" s="3317" t="s">
        <v>1981</v>
      </c>
      <c r="E20" s="3318"/>
      <c r="F20" s="3728" t="s">
        <v>1978</v>
      </c>
      <c r="G20" s="3729"/>
      <c r="H20" s="3302" t="s">
        <v>3362</v>
      </c>
      <c r="I20" s="3302" t="s">
        <v>3363</v>
      </c>
      <c r="J20" s="3303" t="s">
        <v>3364</v>
      </c>
      <c r="K20" s="2047" t="s">
        <v>3365</v>
      </c>
      <c r="L20" s="2047" t="s">
        <v>3366</v>
      </c>
      <c r="M20" s="2047" t="s">
        <v>3367</v>
      </c>
      <c r="N20" s="3433" t="s">
        <v>3392</v>
      </c>
      <c r="O20" s="3434" t="s">
        <v>3407</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23"/>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3408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50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3389</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3393</v>
      </c>
      <c r="C25" s="771">
        <f>IF(B25="容积率修正",IF(G3&lt;10,D26,J26),C27)</f>
        <v>1.0004999999999999</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1.0004999999999999</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1252</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0</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11140</v>
      </c>
      <c r="D33" s="2097">
        <f>'数据-汇总表'!F27</f>
        <v>1123.97</v>
      </c>
      <c r="E33" s="773">
        <f>ROUND(C33*D33/10000,0)</f>
        <v>1252</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26"/>
      <c r="B37" s="2112" t="s">
        <v>2019</v>
      </c>
      <c r="C37" s="175">
        <f>ROUND(D5*C22*C23*C24*C28*F37,0)</f>
        <v>6680</v>
      </c>
      <c r="D37" s="2097">
        <f>'数据-汇总表'!G27</f>
        <v>0</v>
      </c>
      <c r="E37" s="171">
        <f>ROUND(C37*D37/10000,0)</f>
        <v>0</v>
      </c>
      <c r="F37" s="171">
        <f>SUMIF(修正!A57:A68,G2,修正!B57:B68)</f>
        <v>0.6</v>
      </c>
      <c r="G37" s="171">
        <f>ROUND(IF(E2="工业",C37*$M$42,C37*$M$41),0)</f>
        <v>1670</v>
      </c>
      <c r="H37" s="171">
        <f>D37</f>
        <v>0</v>
      </c>
      <c r="I37" s="171">
        <f>ROUND(G37*H37/10000,0)</f>
        <v>0</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27"/>
      <c r="B38" s="2041" t="s">
        <v>2020</v>
      </c>
      <c r="C38" s="175">
        <f>ROUND(D5*C22*C23*C24*C28*F38,0)</f>
        <v>3340</v>
      </c>
      <c r="D38" s="2097"/>
      <c r="E38" s="171">
        <f t="shared" ref="E38:E42" si="4">ROUND(C38*D38/10000,0)</f>
        <v>0</v>
      </c>
      <c r="F38" s="171">
        <f>SUMIF(修正!A57:A68,G2,修正!C57:C68)</f>
        <v>0.3</v>
      </c>
      <c r="G38" s="171">
        <f>ROUND(IF(E2="工业",C38*$M$42,C38*$M$41),0)</f>
        <v>835</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27"/>
      <c r="B39" s="2041" t="s">
        <v>3242</v>
      </c>
      <c r="C39" s="175">
        <f>ROUND(D5*C22*C23*C24*C28*F39,0)</f>
        <v>2784</v>
      </c>
      <c r="D39" s="2097"/>
      <c r="E39" s="171">
        <f t="shared" si="4"/>
        <v>0</v>
      </c>
      <c r="F39" s="171">
        <f>SUMIF(修正!A57:A68,G2,修正!D57:D68)</f>
        <v>0.25</v>
      </c>
      <c r="G39" s="171">
        <f>ROUND(IF(E2="工业",C39*$M$42,C39*$M$41),0)</f>
        <v>696</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2784</v>
      </c>
      <c r="D40" s="2097"/>
      <c r="E40" s="171">
        <f t="shared" si="4"/>
        <v>0</v>
      </c>
      <c r="F40" s="175">
        <f>SUMIF(修正!A57:A68,G2,修正!E57:E68)</f>
        <v>0.25</v>
      </c>
      <c r="G40" s="171">
        <f>ROUND(IF(E2="工业",C40*$M$42,C40*$M$41),0)</f>
        <v>696</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3380</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3380</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3380</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3380</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3390</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3385</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3380</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3391</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3385</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24" t="s">
        <v>3277</v>
      </c>
      <c r="B103" s="3724"/>
      <c r="C103" s="3724"/>
      <c r="D103" s="3724"/>
      <c r="E103" s="3724"/>
      <c r="F103" s="3724"/>
      <c r="G103" s="3724"/>
      <c r="H103" s="3724"/>
      <c r="I103" s="3724"/>
      <c r="J103" s="3724"/>
      <c r="K103" s="3366"/>
      <c r="L103" s="3366"/>
      <c r="M103" s="3366"/>
      <c r="N103" s="3366"/>
    </row>
    <row r="104" spans="1:14">
      <c r="A104" s="3725" t="s">
        <v>3278</v>
      </c>
      <c r="B104" s="3725" t="s">
        <v>3279</v>
      </c>
      <c r="C104" s="3367" t="s">
        <v>3280</v>
      </c>
      <c r="D104" s="3368"/>
      <c r="E104" s="3368"/>
      <c r="F104" s="3368"/>
      <c r="G104" s="3368"/>
      <c r="H104" s="3368"/>
      <c r="I104" s="3368"/>
      <c r="J104" s="3369"/>
      <c r="K104" s="3370"/>
      <c r="L104" s="3370"/>
      <c r="M104" s="3370"/>
      <c r="N104" s="3370"/>
    </row>
    <row r="105" spans="1:14">
      <c r="A105" s="3725"/>
      <c r="B105" s="3725"/>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11"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12"/>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12"/>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12"/>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12"/>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12"/>
      <c r="B111" s="3371" t="s">
        <v>3251</v>
      </c>
      <c r="C111" s="3372">
        <f>$I$3</f>
        <v>3</v>
      </c>
      <c r="D111" s="3372">
        <f t="shared" ref="D111:M111" si="32">$I$3</f>
        <v>3</v>
      </c>
      <c r="E111" s="3372">
        <f t="shared" si="32"/>
        <v>3</v>
      </c>
      <c r="F111" s="3372">
        <f t="shared" si="32"/>
        <v>3</v>
      </c>
      <c r="G111" s="3372">
        <f t="shared" si="32"/>
        <v>3</v>
      </c>
      <c r="H111" s="3372">
        <f t="shared" si="32"/>
        <v>3</v>
      </c>
      <c r="I111" s="3372">
        <f t="shared" si="32"/>
        <v>3</v>
      </c>
      <c r="J111" s="3372">
        <f t="shared" si="32"/>
        <v>3</v>
      </c>
      <c r="K111" s="3372">
        <f t="shared" si="32"/>
        <v>3</v>
      </c>
      <c r="L111" s="3372">
        <f t="shared" si="32"/>
        <v>3</v>
      </c>
      <c r="M111" s="3372">
        <f t="shared" si="32"/>
        <v>3</v>
      </c>
      <c r="N111" s="3372">
        <f>$I$3</f>
        <v>3</v>
      </c>
    </row>
    <row r="112" spans="1:14">
      <c r="A112" s="3713"/>
      <c r="B112" s="3371">
        <v>6</v>
      </c>
      <c r="C112" s="3364">
        <f>(-0.5556*(C111^2)-0.2719*C111+8944)*(10^(-4))</f>
        <v>0.89381839000000007</v>
      </c>
      <c r="D112" s="3364">
        <f>(-0.5556*(D111^2)-0.2719*D111+8944)*(10^(-4))</f>
        <v>0.89381839000000007</v>
      </c>
      <c r="E112" s="3364">
        <f>(-0.7912*(E111^2)-11.3794*E111+8482)*(10^(-4))</f>
        <v>0.84407410000000005</v>
      </c>
      <c r="F112" s="3364">
        <f t="shared" ref="F112:I112" si="33">(-0.7912*(F111^2)-11.3794*F111+8482)*(10^(-4))</f>
        <v>0.84407410000000005</v>
      </c>
      <c r="G112" s="3364">
        <f t="shared" si="33"/>
        <v>0.84407410000000005</v>
      </c>
      <c r="H112" s="3364">
        <f t="shared" si="33"/>
        <v>0.84407410000000005</v>
      </c>
      <c r="I112" s="3364">
        <f t="shared" si="33"/>
        <v>0.84407410000000005</v>
      </c>
      <c r="J112" s="3364">
        <f>(-0.989*(J111^2)-63.78*J111+7771)*(10^(-4))</f>
        <v>0.75707590000000002</v>
      </c>
      <c r="K112" s="3364">
        <f t="shared" ref="K112:N112" si="34">(-0.989*(K111^2)-63.78*K111+7771)*(10^(-4))</f>
        <v>0.75707590000000002</v>
      </c>
      <c r="L112" s="3364">
        <f t="shared" si="34"/>
        <v>0.75707590000000002</v>
      </c>
      <c r="M112" s="3364">
        <f t="shared" si="34"/>
        <v>0.75707590000000002</v>
      </c>
      <c r="N112" s="3364">
        <f t="shared" si="34"/>
        <v>0.75707590000000002</v>
      </c>
    </row>
    <row r="113" spans="1:14">
      <c r="A113" s="3714" t="s">
        <v>3294</v>
      </c>
      <c r="B113" s="3714"/>
      <c r="C113" s="3714"/>
      <c r="D113" s="3714"/>
      <c r="E113" s="3714"/>
      <c r="F113" s="3714"/>
      <c r="G113" s="3714"/>
      <c r="H113" s="3714"/>
      <c r="I113" s="3714"/>
      <c r="J113" s="3714"/>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受贵公司委托，我公司对北京市陈庄子路3号院4号楼3层301房地产市场价值进行了预评估。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估价对象为北京市陈庄子路3号院4号楼3层301房地产，为北京百肯商贸有限公司所有。根据《国有土地使用证》[]，估价对象（分摊）出让国有建设用地使用权面积为0平方米，建筑面积为1123.97平方米。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3层301房地产,属北京百肯商贸有限公司开发建设的商业项目，该项目尚在开发建设中。根据《国有土地使用证》[]，估价对象（分摊）出让国有建设用地使用权面积为0平方米，规划建筑面积为1123.97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1123.97</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736" t="s">
        <v>1758</v>
      </c>
      <c r="Q4" s="3737"/>
      <c r="R4" s="3740" t="s">
        <v>1754</v>
      </c>
      <c r="S4" s="3741"/>
      <c r="T4" s="3740" t="s">
        <v>1755</v>
      </c>
      <c r="U4" s="3741"/>
      <c r="V4" s="3742" t="s">
        <v>1756</v>
      </c>
      <c r="W4" s="3742"/>
      <c r="X4" s="1958"/>
      <c r="Y4" s="3740" t="s">
        <v>1758</v>
      </c>
      <c r="Z4" s="3741"/>
      <c r="AA4" s="3744" t="s">
        <v>1754</v>
      </c>
      <c r="AB4" s="3744" t="s">
        <v>1755</v>
      </c>
      <c r="AC4" s="3733" t="s">
        <v>1756</v>
      </c>
    </row>
    <row r="5" spans="1:29" ht="15">
      <c r="A5" s="358"/>
      <c r="B5" s="359"/>
      <c r="C5" s="3670" t="s">
        <v>1656</v>
      </c>
      <c r="D5" s="3671"/>
      <c r="E5" s="3678" t="s">
        <v>1657</v>
      </c>
      <c r="F5" s="3679"/>
      <c r="G5" s="3670" t="s">
        <v>1658</v>
      </c>
      <c r="H5" s="3671"/>
      <c r="I5" s="3670" t="s">
        <v>1659</v>
      </c>
      <c r="J5" s="3671"/>
      <c r="K5" s="559"/>
      <c r="L5" s="2690"/>
      <c r="M5" s="2691"/>
      <c r="N5" s="2691"/>
      <c r="O5" s="2691"/>
      <c r="P5" s="3738"/>
      <c r="Q5" s="3659"/>
      <c r="R5" s="3664"/>
      <c r="S5" s="3665"/>
      <c r="T5" s="3664"/>
      <c r="U5" s="3665"/>
      <c r="V5" s="3647"/>
      <c r="W5" s="3647"/>
      <c r="X5" s="1355"/>
      <c r="Y5" s="3664"/>
      <c r="Z5" s="3665"/>
      <c r="AA5" s="3650"/>
      <c r="AB5" s="3650"/>
      <c r="AC5" s="3734"/>
    </row>
    <row r="6" spans="1:29" ht="15.75" thickBot="1">
      <c r="A6" s="360"/>
      <c r="B6" s="361"/>
      <c r="C6" s="3709" t="s">
        <v>1660</v>
      </c>
      <c r="D6" s="3669"/>
      <c r="E6" s="3710" t="s">
        <v>1660</v>
      </c>
      <c r="F6" s="3677"/>
      <c r="G6" s="3709" t="s">
        <v>1660</v>
      </c>
      <c r="H6" s="3669"/>
      <c r="I6" s="3709" t="s">
        <v>1660</v>
      </c>
      <c r="J6" s="3669"/>
      <c r="K6" s="559" t="s">
        <v>1661</v>
      </c>
      <c r="L6" s="2690"/>
      <c r="M6" s="2691"/>
      <c r="N6" s="2691"/>
      <c r="O6" s="2691"/>
      <c r="P6" s="3739"/>
      <c r="Q6" s="3661"/>
      <c r="R6" s="3664"/>
      <c r="S6" s="3665"/>
      <c r="T6" s="3666"/>
      <c r="U6" s="3667"/>
      <c r="V6" s="3647"/>
      <c r="W6" s="3647"/>
      <c r="X6" s="1355"/>
      <c r="Y6" s="3666"/>
      <c r="Z6" s="3667"/>
      <c r="AA6" s="3651"/>
      <c r="AB6" s="3651"/>
      <c r="AC6" s="3735"/>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43" t="s">
        <v>1663</v>
      </c>
      <c r="Q7" s="3674"/>
      <c r="R7" s="701" t="s">
        <v>14</v>
      </c>
      <c r="S7" s="702">
        <f t="shared" ref="S7:S15" si="0">F7</f>
        <v>0</v>
      </c>
      <c r="T7" s="701" t="s">
        <v>14</v>
      </c>
      <c r="U7" s="702">
        <f t="shared" ref="U7:U15" si="1">H7</f>
        <v>0</v>
      </c>
      <c r="V7" s="701" t="s">
        <v>14</v>
      </c>
      <c r="W7" s="702">
        <f t="shared" ref="W7:W15" si="2">J7</f>
        <v>0</v>
      </c>
      <c r="X7" s="703"/>
      <c r="Y7" s="3672" t="s">
        <v>1663</v>
      </c>
      <c r="Z7" s="3673"/>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43" t="s">
        <v>1666</v>
      </c>
      <c r="Q8" s="3673"/>
      <c r="R8" s="701" t="s">
        <v>14</v>
      </c>
      <c r="S8" s="702">
        <f t="shared" si="0"/>
        <v>100</v>
      </c>
      <c r="T8" s="701" t="s">
        <v>14</v>
      </c>
      <c r="U8" s="702">
        <f t="shared" si="1"/>
        <v>100</v>
      </c>
      <c r="V8" s="701" t="s">
        <v>14</v>
      </c>
      <c r="W8" s="702">
        <f t="shared" si="2"/>
        <v>100</v>
      </c>
      <c r="X8" s="703"/>
      <c r="Y8" s="3672" t="s">
        <v>1666</v>
      </c>
      <c r="Z8" s="3673"/>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48"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48"/>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48"/>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48"/>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48"/>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48"/>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38" t="s">
        <v>1674</v>
      </c>
      <c r="Q15" s="1352" t="str">
        <f t="shared" si="6"/>
        <v>办公集聚程度</v>
      </c>
      <c r="R15" s="705" t="s">
        <v>14</v>
      </c>
      <c r="S15" s="706">
        <f t="shared" si="0"/>
        <v>100</v>
      </c>
      <c r="T15" s="705" t="s">
        <v>14</v>
      </c>
      <c r="U15" s="706">
        <f t="shared" si="1"/>
        <v>100</v>
      </c>
      <c r="V15" s="705" t="s">
        <v>14</v>
      </c>
      <c r="W15" s="706">
        <f t="shared" si="2"/>
        <v>100</v>
      </c>
      <c r="X15" s="1355"/>
      <c r="Y15" s="3640"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39"/>
      <c r="Q16" s="1352"/>
      <c r="R16" s="705"/>
      <c r="S16" s="706"/>
      <c r="T16" s="705"/>
      <c r="U16" s="706"/>
      <c r="V16" s="705"/>
      <c r="W16" s="706"/>
      <c r="X16" s="1355"/>
      <c r="Y16" s="3641"/>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39"/>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39"/>
      <c r="Q18" s="1352"/>
      <c r="R18" s="705"/>
      <c r="S18" s="706"/>
      <c r="T18" s="705"/>
      <c r="U18" s="706"/>
      <c r="V18" s="705"/>
      <c r="W18" s="706"/>
      <c r="X18" s="1355"/>
      <c r="Y18" s="3641"/>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39"/>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39"/>
      <c r="Q20" s="1352"/>
      <c r="R20" s="705"/>
      <c r="S20" s="706"/>
      <c r="T20" s="705"/>
      <c r="U20" s="706"/>
      <c r="V20" s="705"/>
      <c r="W20" s="706"/>
      <c r="X20" s="1355"/>
      <c r="Y20" s="3641"/>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39"/>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39"/>
      <c r="Q22" s="1352"/>
      <c r="R22" s="705"/>
      <c r="S22" s="706"/>
      <c r="T22" s="705"/>
      <c r="U22" s="706"/>
      <c r="V22" s="705"/>
      <c r="W22" s="706"/>
      <c r="X22" s="1355"/>
      <c r="Y22" s="3641"/>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39"/>
      <c r="Q23" s="1352" t="str">
        <f>B23</f>
        <v>环境质量</v>
      </c>
      <c r="R23" s="705" t="s">
        <v>14</v>
      </c>
      <c r="S23" s="706">
        <f>F23</f>
        <v>100</v>
      </c>
      <c r="T23" s="705" t="s">
        <v>14</v>
      </c>
      <c r="U23" s="706">
        <f>H23</f>
        <v>100</v>
      </c>
      <c r="V23" s="705" t="s">
        <v>14</v>
      </c>
      <c r="W23" s="706">
        <f>J23</f>
        <v>100</v>
      </c>
      <c r="X23" s="1355"/>
      <c r="Y23" s="364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39"/>
      <c r="Q24" s="1352"/>
      <c r="R24" s="705"/>
      <c r="S24" s="706"/>
      <c r="T24" s="705"/>
      <c r="U24" s="706"/>
      <c r="V24" s="705"/>
      <c r="W24" s="706"/>
      <c r="X24" s="1355"/>
      <c r="Y24" s="3641"/>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39"/>
      <c r="Q25" s="1352" t="str">
        <f>B25</f>
        <v>毗邻道路的类型与等级</v>
      </c>
      <c r="R25" s="705" t="s">
        <v>14</v>
      </c>
      <c r="S25" s="706">
        <f>F25</f>
        <v>100</v>
      </c>
      <c r="T25" s="705" t="s">
        <v>14</v>
      </c>
      <c r="U25" s="706">
        <f>H25</f>
        <v>100</v>
      </c>
      <c r="V25" s="705" t="s">
        <v>14</v>
      </c>
      <c r="W25" s="706">
        <f>J25</f>
        <v>100</v>
      </c>
      <c r="X25" s="1355"/>
      <c r="Y25" s="364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39"/>
      <c r="Q26" s="1352"/>
      <c r="R26" s="705"/>
      <c r="S26" s="706"/>
      <c r="T26" s="705"/>
      <c r="U26" s="706"/>
      <c r="V26" s="705"/>
      <c r="W26" s="706"/>
      <c r="X26" s="1355"/>
      <c r="Y26" s="3641"/>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39"/>
      <c r="Q27" s="1352" t="str">
        <f t="shared" ref="Q27:Q47" si="11">B27</f>
        <v>楼层</v>
      </c>
      <c r="R27" s="705" t="s">
        <v>14</v>
      </c>
      <c r="S27" s="706">
        <f>F27</f>
        <v>100</v>
      </c>
      <c r="T27" s="705" t="s">
        <v>14</v>
      </c>
      <c r="U27" s="706">
        <f>H27</f>
        <v>100</v>
      </c>
      <c r="V27" s="705" t="s">
        <v>14</v>
      </c>
      <c r="W27" s="706">
        <f>J27</f>
        <v>100</v>
      </c>
      <c r="X27" s="1355"/>
      <c r="Y27" s="3641"/>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39"/>
      <c r="Q28" s="1343" t="str">
        <f t="shared" si="11"/>
        <v>朝向</v>
      </c>
      <c r="R28" s="701" t="s">
        <v>14</v>
      </c>
      <c r="S28" s="702">
        <f>F28</f>
        <v>100</v>
      </c>
      <c r="T28" s="701" t="s">
        <v>14</v>
      </c>
      <c r="U28" s="702">
        <f>H28</f>
        <v>100</v>
      </c>
      <c r="V28" s="701" t="s">
        <v>14</v>
      </c>
      <c r="W28" s="702">
        <f>J28</f>
        <v>100</v>
      </c>
      <c r="X28" s="703"/>
      <c r="Y28" s="364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39"/>
      <c r="Q29" s="1352">
        <f t="shared" si="11"/>
        <v>111</v>
      </c>
      <c r="R29" s="705" t="s">
        <v>14</v>
      </c>
      <c r="S29" s="706">
        <f t="shared" ref="S29:S47" si="12">F29</f>
        <v>100</v>
      </c>
      <c r="T29" s="705" t="s">
        <v>14</v>
      </c>
      <c r="U29" s="706">
        <f t="shared" ref="U29:U47" si="13">H29</f>
        <v>100</v>
      </c>
      <c r="V29" s="705" t="s">
        <v>14</v>
      </c>
      <c r="W29" s="706">
        <f t="shared" ref="W29:W47" si="14">J29</f>
        <v>100</v>
      </c>
      <c r="X29" s="1355"/>
      <c r="Y29" s="364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39"/>
      <c r="Q30" s="1352">
        <f t="shared" si="11"/>
        <v>111</v>
      </c>
      <c r="R30" s="705" t="s">
        <v>14</v>
      </c>
      <c r="S30" s="706">
        <f t="shared" si="12"/>
        <v>100</v>
      </c>
      <c r="T30" s="705" t="s">
        <v>14</v>
      </c>
      <c r="U30" s="706">
        <f t="shared" si="13"/>
        <v>100</v>
      </c>
      <c r="V30" s="705" t="s">
        <v>14</v>
      </c>
      <c r="W30" s="706">
        <f t="shared" si="14"/>
        <v>100</v>
      </c>
      <c r="X30" s="1355"/>
      <c r="Y30" s="364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39"/>
      <c r="Q31" s="1352">
        <f t="shared" si="11"/>
        <v>111</v>
      </c>
      <c r="R31" s="705" t="s">
        <v>14</v>
      </c>
      <c r="S31" s="706">
        <f t="shared" si="12"/>
        <v>100</v>
      </c>
      <c r="T31" s="705" t="s">
        <v>14</v>
      </c>
      <c r="U31" s="706">
        <f t="shared" si="13"/>
        <v>100</v>
      </c>
      <c r="V31" s="705" t="s">
        <v>14</v>
      </c>
      <c r="W31" s="706">
        <f t="shared" si="14"/>
        <v>100</v>
      </c>
      <c r="X31" s="1355"/>
      <c r="Y31" s="364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39"/>
      <c r="Q32" s="1352">
        <f t="shared" si="11"/>
        <v>111</v>
      </c>
      <c r="R32" s="705" t="s">
        <v>14</v>
      </c>
      <c r="S32" s="706">
        <f t="shared" si="12"/>
        <v>100</v>
      </c>
      <c r="T32" s="705" t="s">
        <v>14</v>
      </c>
      <c r="U32" s="706">
        <f t="shared" si="13"/>
        <v>100</v>
      </c>
      <c r="V32" s="705" t="s">
        <v>14</v>
      </c>
      <c r="W32" s="706">
        <f t="shared" si="14"/>
        <v>100</v>
      </c>
      <c r="X32" s="1355"/>
      <c r="Y32" s="3641"/>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42" t="s">
        <v>1679</v>
      </c>
      <c r="Q33" s="1352" t="str">
        <f t="shared" si="11"/>
        <v>建筑类型</v>
      </c>
      <c r="R33" s="705" t="s">
        <v>14</v>
      </c>
      <c r="S33" s="706">
        <f t="shared" si="12"/>
        <v>100</v>
      </c>
      <c r="T33" s="705" t="s">
        <v>14</v>
      </c>
      <c r="U33" s="706">
        <f t="shared" si="13"/>
        <v>100</v>
      </c>
      <c r="V33" s="705" t="s">
        <v>14</v>
      </c>
      <c r="W33" s="706">
        <f t="shared" si="14"/>
        <v>100</v>
      </c>
      <c r="X33" s="1355"/>
      <c r="Y33" s="3645"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43"/>
      <c r="Q34" s="707" t="str">
        <f t="shared" si="11"/>
        <v>项目建筑规模</v>
      </c>
      <c r="R34" s="708" t="s">
        <v>14</v>
      </c>
      <c r="S34" s="709" t="e">
        <f t="shared" si="12"/>
        <v>#N/A</v>
      </c>
      <c r="T34" s="708" t="s">
        <v>14</v>
      </c>
      <c r="U34" s="709" t="e">
        <f t="shared" si="13"/>
        <v>#N/A</v>
      </c>
      <c r="V34" s="708" t="s">
        <v>14</v>
      </c>
      <c r="W34" s="709" t="e">
        <f t="shared" si="14"/>
        <v>#N/A</v>
      </c>
      <c r="X34" s="710"/>
      <c r="Y34" s="3645"/>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43"/>
      <c r="Q35" s="1352" t="str">
        <f t="shared" si="11"/>
        <v>建筑结构</v>
      </c>
      <c r="R35" s="705" t="s">
        <v>14</v>
      </c>
      <c r="S35" s="706">
        <f t="shared" si="12"/>
        <v>100</v>
      </c>
      <c r="T35" s="705" t="s">
        <v>14</v>
      </c>
      <c r="U35" s="706">
        <f t="shared" si="13"/>
        <v>100</v>
      </c>
      <c r="V35" s="705" t="s">
        <v>14</v>
      </c>
      <c r="W35" s="706">
        <f t="shared" si="14"/>
        <v>100</v>
      </c>
      <c r="X35" s="1355"/>
      <c r="Y35" s="3645"/>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43"/>
      <c r="Q36" s="1352" t="str">
        <f t="shared" si="11"/>
        <v>公共部分装修</v>
      </c>
      <c r="R36" s="705" t="s">
        <v>14</v>
      </c>
      <c r="S36" s="706">
        <f t="shared" si="12"/>
        <v>100</v>
      </c>
      <c r="T36" s="705" t="s">
        <v>14</v>
      </c>
      <c r="U36" s="706">
        <f t="shared" si="13"/>
        <v>100</v>
      </c>
      <c r="V36" s="705" t="s">
        <v>14</v>
      </c>
      <c r="W36" s="706">
        <f t="shared" si="14"/>
        <v>100</v>
      </c>
      <c r="X36" s="1355"/>
      <c r="Y36" s="3645"/>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43"/>
      <c r="Q37" s="1352" t="str">
        <f t="shared" si="11"/>
        <v>成新度</v>
      </c>
      <c r="R37" s="705" t="s">
        <v>14</v>
      </c>
      <c r="S37" s="706" t="e">
        <f t="shared" si="12"/>
        <v>#N/A</v>
      </c>
      <c r="T37" s="705" t="s">
        <v>14</v>
      </c>
      <c r="U37" s="706" t="e">
        <f t="shared" si="13"/>
        <v>#N/A</v>
      </c>
      <c r="V37" s="705" t="s">
        <v>14</v>
      </c>
      <c r="W37" s="706" t="e">
        <f t="shared" si="14"/>
        <v>#N/A</v>
      </c>
      <c r="X37" s="1355"/>
      <c r="Y37" s="3645"/>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43"/>
      <c r="Q38" s="1343" t="str">
        <f t="shared" si="11"/>
        <v>写字楼等级</v>
      </c>
      <c r="R38" s="701" t="s">
        <v>14</v>
      </c>
      <c r="S38" s="702">
        <f t="shared" si="12"/>
        <v>100</v>
      </c>
      <c r="T38" s="701" t="s">
        <v>14</v>
      </c>
      <c r="U38" s="702">
        <f t="shared" si="13"/>
        <v>100</v>
      </c>
      <c r="V38" s="701" t="s">
        <v>14</v>
      </c>
      <c r="W38" s="702">
        <f t="shared" si="14"/>
        <v>100</v>
      </c>
      <c r="X38" s="703"/>
      <c r="Y38" s="3645"/>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43" t="s">
        <v>1679</v>
      </c>
      <c r="Q39" s="1352" t="str">
        <f t="shared" si="11"/>
        <v>物业管理</v>
      </c>
      <c r="R39" s="705" t="s">
        <v>14</v>
      </c>
      <c r="S39" s="706">
        <f t="shared" si="12"/>
        <v>100</v>
      </c>
      <c r="T39" s="705" t="s">
        <v>14</v>
      </c>
      <c r="U39" s="706">
        <f t="shared" si="13"/>
        <v>100</v>
      </c>
      <c r="V39" s="705" t="s">
        <v>14</v>
      </c>
      <c r="W39" s="706">
        <f t="shared" si="14"/>
        <v>100</v>
      </c>
      <c r="X39" s="1355"/>
      <c r="Y39" s="3645"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43"/>
      <c r="Q40" s="1352" t="str">
        <f t="shared" si="11"/>
        <v>市政基础设施</v>
      </c>
      <c r="R40" s="705" t="s">
        <v>14</v>
      </c>
      <c r="S40" s="706">
        <f t="shared" si="12"/>
        <v>100</v>
      </c>
      <c r="T40" s="705" t="s">
        <v>14</v>
      </c>
      <c r="U40" s="706">
        <f t="shared" si="13"/>
        <v>100</v>
      </c>
      <c r="V40" s="705" t="s">
        <v>14</v>
      </c>
      <c r="W40" s="706">
        <f t="shared" si="14"/>
        <v>100</v>
      </c>
      <c r="X40" s="1355"/>
      <c r="Y40" s="3645"/>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43"/>
      <c r="Q41" s="1352" t="str">
        <f t="shared" si="11"/>
        <v>层高</v>
      </c>
      <c r="R41" s="705" t="s">
        <v>14</v>
      </c>
      <c r="S41" s="706">
        <f t="shared" si="12"/>
        <v>100</v>
      </c>
      <c r="T41" s="705" t="s">
        <v>14</v>
      </c>
      <c r="U41" s="706">
        <f t="shared" si="13"/>
        <v>100</v>
      </c>
      <c r="V41" s="705" t="s">
        <v>14</v>
      </c>
      <c r="W41" s="706">
        <f t="shared" si="14"/>
        <v>100</v>
      </c>
      <c r="X41" s="1355"/>
      <c r="Y41" s="3645"/>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43"/>
      <c r="Q42" s="707" t="str">
        <f t="shared" si="11"/>
        <v>单套建筑面积</v>
      </c>
      <c r="R42" s="708" t="s">
        <v>14</v>
      </c>
      <c r="S42" s="709">
        <f t="shared" si="12"/>
        <v>100</v>
      </c>
      <c r="T42" s="708" t="s">
        <v>14</v>
      </c>
      <c r="U42" s="709">
        <f t="shared" si="13"/>
        <v>100</v>
      </c>
      <c r="V42" s="708" t="s">
        <v>14</v>
      </c>
      <c r="W42" s="709">
        <f t="shared" si="14"/>
        <v>100</v>
      </c>
      <c r="X42" s="710"/>
      <c r="Y42" s="3645"/>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43"/>
      <c r="Q43" s="1352" t="str">
        <f t="shared" si="11"/>
        <v>内部装修</v>
      </c>
      <c r="R43" s="705" t="s">
        <v>14</v>
      </c>
      <c r="S43" s="706">
        <f t="shared" si="12"/>
        <v>100</v>
      </c>
      <c r="T43" s="705" t="s">
        <v>14</v>
      </c>
      <c r="U43" s="706">
        <f t="shared" si="13"/>
        <v>100</v>
      </c>
      <c r="V43" s="705" t="s">
        <v>14</v>
      </c>
      <c r="W43" s="706">
        <f t="shared" si="14"/>
        <v>100</v>
      </c>
      <c r="X43" s="1355"/>
      <c r="Y43" s="3645"/>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43"/>
      <c r="Q44" s="1352" t="str">
        <f t="shared" si="11"/>
        <v>内部装修维护情况</v>
      </c>
      <c r="R44" s="705" t="s">
        <v>14</v>
      </c>
      <c r="S44" s="706">
        <f t="shared" si="12"/>
        <v>100</v>
      </c>
      <c r="T44" s="705" t="s">
        <v>14</v>
      </c>
      <c r="U44" s="706">
        <f t="shared" si="13"/>
        <v>100</v>
      </c>
      <c r="V44" s="705" t="s">
        <v>14</v>
      </c>
      <c r="W44" s="706">
        <f t="shared" si="14"/>
        <v>100</v>
      </c>
      <c r="X44" s="1355"/>
      <c r="Y44" s="364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43"/>
      <c r="Q45" s="1343">
        <f t="shared" si="11"/>
        <v>111</v>
      </c>
      <c r="R45" s="701" t="s">
        <v>14</v>
      </c>
      <c r="S45" s="702">
        <f t="shared" si="12"/>
        <v>100</v>
      </c>
      <c r="T45" s="701" t="s">
        <v>14</v>
      </c>
      <c r="U45" s="702">
        <f t="shared" si="13"/>
        <v>100</v>
      </c>
      <c r="V45" s="701" t="s">
        <v>14</v>
      </c>
      <c r="W45" s="702">
        <f t="shared" si="14"/>
        <v>100</v>
      </c>
      <c r="X45" s="703"/>
      <c r="Y45" s="364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43"/>
      <c r="Q46" s="1352">
        <f t="shared" si="11"/>
        <v>111</v>
      </c>
      <c r="R46" s="705" t="s">
        <v>14</v>
      </c>
      <c r="S46" s="706">
        <f t="shared" si="12"/>
        <v>100</v>
      </c>
      <c r="T46" s="705" t="s">
        <v>14</v>
      </c>
      <c r="U46" s="706">
        <f t="shared" si="13"/>
        <v>100</v>
      </c>
      <c r="V46" s="705" t="s">
        <v>14</v>
      </c>
      <c r="W46" s="706">
        <f t="shared" si="14"/>
        <v>100</v>
      </c>
      <c r="X46" s="1355"/>
      <c r="Y46" s="364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44"/>
      <c r="Q47" s="1352">
        <f t="shared" si="11"/>
        <v>111</v>
      </c>
      <c r="R47" s="705" t="s">
        <v>14</v>
      </c>
      <c r="S47" s="706">
        <f t="shared" si="12"/>
        <v>100</v>
      </c>
      <c r="T47" s="705" t="s">
        <v>14</v>
      </c>
      <c r="U47" s="706">
        <f t="shared" si="13"/>
        <v>100</v>
      </c>
      <c r="V47" s="705" t="s">
        <v>14</v>
      </c>
      <c r="W47" s="706">
        <f t="shared" si="14"/>
        <v>100</v>
      </c>
      <c r="X47" s="1355"/>
      <c r="Y47" s="3646"/>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48" t="str">
        <f>A48</f>
        <v>成交单价（元/平方米）</v>
      </c>
      <c r="Q48" s="3633"/>
      <c r="R48" s="3634">
        <f>E48</f>
        <v>0</v>
      </c>
      <c r="S48" s="3634"/>
      <c r="T48" s="3634">
        <f>G48</f>
        <v>0</v>
      </c>
      <c r="U48" s="3634"/>
      <c r="V48" s="3634">
        <f>I48</f>
        <v>0</v>
      </c>
      <c r="W48" s="3634"/>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48" t="str">
        <f>A49</f>
        <v>比较价值（元/平方米）</v>
      </c>
      <c r="Q49" s="3633"/>
      <c r="R49" s="3634" t="e">
        <f>IF(F1="售价",ROUND(PRODUCT(R48,AA7:AA47),0),ROUND(PRODUCT(R48,AA7:AA47),1))</f>
        <v>#DIV/0!</v>
      </c>
      <c r="S49" s="3634"/>
      <c r="T49" s="3634" t="e">
        <f>IF(F1="售价",ROUND(PRODUCT(T48,AB7:AB47),0),ROUND(PRODUCT(T48,AB7:AB47),1))</f>
        <v>#DIV/0!</v>
      </c>
      <c r="U49" s="3634"/>
      <c r="V49" s="3634" t="e">
        <f>IF(F1="售价",ROUND(PRODUCT(V48,AC7:AC47),0),ROUND(PRODUCT(V48,AC7:AC47),1))</f>
        <v>#DIV/0!</v>
      </c>
      <c r="W49" s="3634"/>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1123.97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913"/>
      <c r="M4" s="914"/>
      <c r="N4" s="914"/>
      <c r="O4" s="914"/>
      <c r="P4" s="3656" t="s">
        <v>1758</v>
      </c>
      <c r="Q4" s="3657"/>
      <c r="R4" s="3662" t="s">
        <v>1754</v>
      </c>
      <c r="S4" s="3663"/>
      <c r="T4" s="3662" t="s">
        <v>1755</v>
      </c>
      <c r="U4" s="3663"/>
      <c r="V4" s="3647" t="s">
        <v>1756</v>
      </c>
      <c r="W4" s="3647"/>
      <c r="X4" s="1355"/>
      <c r="Y4" s="3662" t="s">
        <v>1758</v>
      </c>
      <c r="Z4" s="3663"/>
      <c r="AA4" s="3649" t="s">
        <v>1754</v>
      </c>
      <c r="AB4" s="3650" t="s">
        <v>1755</v>
      </c>
      <c r="AC4" s="3649" t="s">
        <v>1756</v>
      </c>
    </row>
    <row r="5" spans="1:29" ht="15">
      <c r="A5" s="358"/>
      <c r="B5" s="359"/>
      <c r="C5" s="3670" t="s">
        <v>1656</v>
      </c>
      <c r="D5" s="3671"/>
      <c r="E5" s="3678" t="s">
        <v>1657</v>
      </c>
      <c r="F5" s="3679"/>
      <c r="G5" s="3670" t="s">
        <v>1658</v>
      </c>
      <c r="H5" s="3671"/>
      <c r="I5" s="3670" t="s">
        <v>1659</v>
      </c>
      <c r="J5" s="3671"/>
      <c r="K5" s="559"/>
      <c r="L5" s="913"/>
      <c r="M5" s="914"/>
      <c r="N5" s="914"/>
      <c r="O5" s="914"/>
      <c r="P5" s="3658"/>
      <c r="Q5" s="3659"/>
      <c r="R5" s="3664"/>
      <c r="S5" s="3665"/>
      <c r="T5" s="3664"/>
      <c r="U5" s="3665"/>
      <c r="V5" s="3647"/>
      <c r="W5" s="3647"/>
      <c r="X5" s="1355"/>
      <c r="Y5" s="3664"/>
      <c r="Z5" s="3665"/>
      <c r="AA5" s="3650"/>
      <c r="AB5" s="3650"/>
      <c r="AC5" s="3650"/>
    </row>
    <row r="6" spans="1:29" ht="15.75" thickBot="1">
      <c r="A6" s="360"/>
      <c r="B6" s="361"/>
      <c r="C6" s="3709" t="s">
        <v>1660</v>
      </c>
      <c r="D6" s="3669"/>
      <c r="E6" s="3710" t="s">
        <v>1660</v>
      </c>
      <c r="F6" s="3677"/>
      <c r="G6" s="3709" t="s">
        <v>1660</v>
      </c>
      <c r="H6" s="3669"/>
      <c r="I6" s="3709" t="s">
        <v>1660</v>
      </c>
      <c r="J6" s="3669"/>
      <c r="K6" s="559" t="s">
        <v>1661</v>
      </c>
      <c r="L6" s="913"/>
      <c r="M6" s="914"/>
      <c r="N6" s="914"/>
      <c r="O6" s="914"/>
      <c r="P6" s="3660"/>
      <c r="Q6" s="3661"/>
      <c r="R6" s="3664"/>
      <c r="S6" s="3665"/>
      <c r="T6" s="3666"/>
      <c r="U6" s="3667"/>
      <c r="V6" s="3647"/>
      <c r="W6" s="3647"/>
      <c r="X6" s="1355"/>
      <c r="Y6" s="3666"/>
      <c r="Z6" s="3667"/>
      <c r="AA6" s="3651"/>
      <c r="AB6" s="3651"/>
      <c r="AC6" s="3651"/>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72" t="s">
        <v>1663</v>
      </c>
      <c r="Q7" s="3674"/>
      <c r="R7" s="701" t="s">
        <v>14</v>
      </c>
      <c r="S7" s="702">
        <f t="shared" ref="S7:S15" si="0">F7</f>
        <v>0</v>
      </c>
      <c r="T7" s="701" t="s">
        <v>14</v>
      </c>
      <c r="U7" s="702">
        <f t="shared" ref="U7:U15" si="1">H7</f>
        <v>0</v>
      </c>
      <c r="V7" s="701" t="s">
        <v>14</v>
      </c>
      <c r="W7" s="702">
        <f t="shared" ref="W7:W15" si="2">J7</f>
        <v>0</v>
      </c>
      <c r="X7" s="703"/>
      <c r="Y7" s="3672" t="s">
        <v>1663</v>
      </c>
      <c r="Z7" s="3673"/>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2" t="s">
        <v>1666</v>
      </c>
      <c r="Q8" s="3673"/>
      <c r="R8" s="701" t="s">
        <v>14</v>
      </c>
      <c r="S8" s="702">
        <f t="shared" si="0"/>
        <v>100</v>
      </c>
      <c r="T8" s="701" t="s">
        <v>14</v>
      </c>
      <c r="U8" s="702">
        <f t="shared" si="1"/>
        <v>100</v>
      </c>
      <c r="V8" s="701" t="s">
        <v>14</v>
      </c>
      <c r="W8" s="702">
        <f t="shared" si="2"/>
        <v>100</v>
      </c>
      <c r="X8" s="703"/>
      <c r="Y8" s="3672" t="s">
        <v>1666</v>
      </c>
      <c r="Z8" s="3673"/>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33"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33"/>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33"/>
      <c r="Q11" s="1343" t="str">
        <f t="shared" si="6"/>
        <v>容积率</v>
      </c>
      <c r="R11" s="701" t="s">
        <v>14</v>
      </c>
      <c r="S11" s="702">
        <f t="shared" si="0"/>
        <v>100</v>
      </c>
      <c r="T11" s="701" t="s">
        <v>14</v>
      </c>
      <c r="U11" s="702">
        <f t="shared" si="1"/>
        <v>100</v>
      </c>
      <c r="V11" s="701" t="s">
        <v>14</v>
      </c>
      <c r="W11" s="702">
        <f t="shared" si="2"/>
        <v>100</v>
      </c>
      <c r="X11" s="703"/>
      <c r="Y11" s="354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33"/>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33"/>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33"/>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0" t="s">
        <v>1674</v>
      </c>
      <c r="Q15" s="1352" t="str">
        <f t="shared" si="6"/>
        <v>产业集聚程度</v>
      </c>
      <c r="R15" s="705" t="s">
        <v>14</v>
      </c>
      <c r="S15" s="706">
        <f t="shared" si="0"/>
        <v>100</v>
      </c>
      <c r="T15" s="705" t="s">
        <v>14</v>
      </c>
      <c r="U15" s="706">
        <f t="shared" si="1"/>
        <v>100</v>
      </c>
      <c r="V15" s="705" t="s">
        <v>14</v>
      </c>
      <c r="W15" s="706">
        <f t="shared" si="2"/>
        <v>100</v>
      </c>
      <c r="X15" s="1355"/>
      <c r="Y15" s="3640"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41"/>
      <c r="Q16" s="1352"/>
      <c r="R16" s="705"/>
      <c r="S16" s="706"/>
      <c r="T16" s="705"/>
      <c r="U16" s="706"/>
      <c r="V16" s="705"/>
      <c r="W16" s="706"/>
      <c r="X16" s="1355"/>
      <c r="Y16" s="3641"/>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41"/>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41"/>
      <c r="Q18" s="1352"/>
      <c r="R18" s="705"/>
      <c r="S18" s="706"/>
      <c r="T18" s="705"/>
      <c r="U18" s="706"/>
      <c r="V18" s="705"/>
      <c r="W18" s="706"/>
      <c r="X18" s="1355"/>
      <c r="Y18" s="3641"/>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41"/>
      <c r="Q19" s="1352" t="str">
        <f>B19</f>
        <v>公共配套设施</v>
      </c>
      <c r="R19" s="705" t="s">
        <v>14</v>
      </c>
      <c r="S19" s="706">
        <f>F19</f>
        <v>100</v>
      </c>
      <c r="T19" s="705" t="s">
        <v>14</v>
      </c>
      <c r="U19" s="706">
        <f>H19</f>
        <v>100</v>
      </c>
      <c r="V19" s="705" t="s">
        <v>14</v>
      </c>
      <c r="W19" s="706">
        <f>J19</f>
        <v>100</v>
      </c>
      <c r="X19" s="1355"/>
      <c r="Y19" s="364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41"/>
      <c r="Q20" s="1352"/>
      <c r="R20" s="705"/>
      <c r="S20" s="706"/>
      <c r="T20" s="705"/>
      <c r="U20" s="706"/>
      <c r="V20" s="705"/>
      <c r="W20" s="706"/>
      <c r="X20" s="1355"/>
      <c r="Y20" s="3641"/>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41"/>
      <c r="Q21" s="1352" t="str">
        <f>B21</f>
        <v>基础设施水平</v>
      </c>
      <c r="R21" s="705" t="s">
        <v>14</v>
      </c>
      <c r="S21" s="706">
        <f>F21</f>
        <v>100</v>
      </c>
      <c r="T21" s="705" t="s">
        <v>14</v>
      </c>
      <c r="U21" s="706">
        <f>H21</f>
        <v>100</v>
      </c>
      <c r="V21" s="705" t="s">
        <v>14</v>
      </c>
      <c r="W21" s="706">
        <f>J21</f>
        <v>100</v>
      </c>
      <c r="X21" s="1355"/>
      <c r="Y21" s="364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41"/>
      <c r="Q22" s="1352"/>
      <c r="R22" s="705"/>
      <c r="S22" s="706"/>
      <c r="T22" s="705"/>
      <c r="U22" s="706"/>
      <c r="V22" s="705"/>
      <c r="W22" s="706"/>
      <c r="X22" s="1355"/>
      <c r="Y22" s="3641"/>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41"/>
      <c r="Q23" s="1352" t="str">
        <f>B23</f>
        <v>环境质量</v>
      </c>
      <c r="R23" s="705" t="s">
        <v>14</v>
      </c>
      <c r="S23" s="706">
        <f>F23</f>
        <v>100</v>
      </c>
      <c r="T23" s="705" t="s">
        <v>14</v>
      </c>
      <c r="U23" s="706">
        <f>H23</f>
        <v>100</v>
      </c>
      <c r="V23" s="705" t="s">
        <v>14</v>
      </c>
      <c r="W23" s="706">
        <f>J23</f>
        <v>100</v>
      </c>
      <c r="X23" s="1355"/>
      <c r="Y23" s="364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41"/>
      <c r="Q24" s="1352"/>
      <c r="R24" s="705"/>
      <c r="S24" s="706"/>
      <c r="T24" s="705"/>
      <c r="U24" s="706"/>
      <c r="V24" s="705"/>
      <c r="W24" s="706"/>
      <c r="X24" s="1355"/>
      <c r="Y24" s="364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41"/>
      <c r="Q25" s="1352">
        <f>B25</f>
        <v>111</v>
      </c>
      <c r="R25" s="705" t="s">
        <v>14</v>
      </c>
      <c r="S25" s="706">
        <f>F25</f>
        <v>100</v>
      </c>
      <c r="T25" s="705" t="s">
        <v>14</v>
      </c>
      <c r="U25" s="706">
        <f>H25</f>
        <v>100</v>
      </c>
      <c r="V25" s="705" t="s">
        <v>14</v>
      </c>
      <c r="W25" s="706">
        <f>J25</f>
        <v>100</v>
      </c>
      <c r="X25" s="1355"/>
      <c r="Y25" s="364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41"/>
      <c r="Q26" s="1352">
        <f t="shared" ref="Q26:Q40" si="11">B26</f>
        <v>111</v>
      </c>
      <c r="R26" s="705" t="s">
        <v>14</v>
      </c>
      <c r="S26" s="706">
        <f>F26</f>
        <v>100</v>
      </c>
      <c r="T26" s="705" t="s">
        <v>14</v>
      </c>
      <c r="U26" s="706">
        <f>H26</f>
        <v>100</v>
      </c>
      <c r="V26" s="705" t="s">
        <v>14</v>
      </c>
      <c r="W26" s="706">
        <f>J26</f>
        <v>100</v>
      </c>
      <c r="X26" s="1355"/>
      <c r="Y26" s="364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41"/>
      <c r="Q27" s="1343">
        <f t="shared" si="11"/>
        <v>111</v>
      </c>
      <c r="R27" s="701" t="s">
        <v>14</v>
      </c>
      <c r="S27" s="702">
        <f>F27</f>
        <v>100</v>
      </c>
      <c r="T27" s="701" t="s">
        <v>14</v>
      </c>
      <c r="U27" s="702">
        <f>H27</f>
        <v>100</v>
      </c>
      <c r="V27" s="701" t="s">
        <v>14</v>
      </c>
      <c r="W27" s="702">
        <f>J27</f>
        <v>100</v>
      </c>
      <c r="X27" s="703"/>
      <c r="Y27" s="364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41"/>
      <c r="Q28" s="1352">
        <f t="shared" si="11"/>
        <v>111</v>
      </c>
      <c r="R28" s="705" t="s">
        <v>14</v>
      </c>
      <c r="S28" s="706">
        <f t="shared" ref="S28:S40" si="12">F28</f>
        <v>100</v>
      </c>
      <c r="T28" s="705" t="s">
        <v>14</v>
      </c>
      <c r="U28" s="706">
        <f t="shared" ref="U28:U40" si="13">H28</f>
        <v>100</v>
      </c>
      <c r="V28" s="705" t="s">
        <v>14</v>
      </c>
      <c r="W28" s="706">
        <f t="shared" ref="W28:W40" si="14">J28</f>
        <v>100</v>
      </c>
      <c r="X28" s="1355"/>
      <c r="Y28" s="3641"/>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5" t="s">
        <v>1679</v>
      </c>
      <c r="Q29" s="1352" t="str">
        <f t="shared" si="11"/>
        <v>建筑类型</v>
      </c>
      <c r="R29" s="705" t="s">
        <v>14</v>
      </c>
      <c r="S29" s="706">
        <f t="shared" si="12"/>
        <v>100</v>
      </c>
      <c r="T29" s="705" t="s">
        <v>14</v>
      </c>
      <c r="U29" s="706">
        <f t="shared" si="13"/>
        <v>100</v>
      </c>
      <c r="V29" s="705" t="s">
        <v>14</v>
      </c>
      <c r="W29" s="706">
        <f t="shared" si="14"/>
        <v>100</v>
      </c>
      <c r="X29" s="1355"/>
      <c r="Y29" s="3645"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45"/>
      <c r="Q30" s="707" t="str">
        <f t="shared" si="11"/>
        <v>项目建筑规模</v>
      </c>
      <c r="R30" s="708" t="s">
        <v>14</v>
      </c>
      <c r="S30" s="709" t="e">
        <f t="shared" si="12"/>
        <v>#N/A</v>
      </c>
      <c r="T30" s="708" t="s">
        <v>14</v>
      </c>
      <c r="U30" s="709" t="e">
        <f t="shared" si="13"/>
        <v>#N/A</v>
      </c>
      <c r="V30" s="708" t="s">
        <v>14</v>
      </c>
      <c r="W30" s="709" t="e">
        <f t="shared" si="14"/>
        <v>#N/A</v>
      </c>
      <c r="X30" s="710"/>
      <c r="Y30" s="3645"/>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45"/>
      <c r="Q31" s="1352" t="str">
        <f t="shared" si="11"/>
        <v>建筑结构</v>
      </c>
      <c r="R31" s="705" t="s">
        <v>14</v>
      </c>
      <c r="S31" s="706">
        <f t="shared" si="12"/>
        <v>100</v>
      </c>
      <c r="T31" s="705" t="s">
        <v>14</v>
      </c>
      <c r="U31" s="706">
        <f t="shared" si="13"/>
        <v>100</v>
      </c>
      <c r="V31" s="705" t="s">
        <v>14</v>
      </c>
      <c r="W31" s="706">
        <f t="shared" si="14"/>
        <v>100</v>
      </c>
      <c r="X31" s="1355"/>
      <c r="Y31" s="3645"/>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45"/>
      <c r="Q32" s="1352" t="str">
        <f t="shared" si="11"/>
        <v>公共部分装修</v>
      </c>
      <c r="R32" s="705" t="s">
        <v>14</v>
      </c>
      <c r="S32" s="706">
        <f t="shared" si="12"/>
        <v>100</v>
      </c>
      <c r="T32" s="705" t="s">
        <v>14</v>
      </c>
      <c r="U32" s="706">
        <f t="shared" si="13"/>
        <v>100</v>
      </c>
      <c r="V32" s="705" t="s">
        <v>14</v>
      </c>
      <c r="W32" s="706">
        <f t="shared" si="14"/>
        <v>100</v>
      </c>
      <c r="X32" s="1355"/>
      <c r="Y32" s="3645"/>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45"/>
      <c r="Q33" s="1352" t="str">
        <f t="shared" si="11"/>
        <v>成新度</v>
      </c>
      <c r="R33" s="705" t="s">
        <v>14</v>
      </c>
      <c r="S33" s="706" t="e">
        <f t="shared" si="12"/>
        <v>#N/A</v>
      </c>
      <c r="T33" s="705" t="s">
        <v>14</v>
      </c>
      <c r="U33" s="706" t="e">
        <f t="shared" si="13"/>
        <v>#N/A</v>
      </c>
      <c r="V33" s="705" t="s">
        <v>14</v>
      </c>
      <c r="W33" s="706" t="e">
        <f t="shared" si="14"/>
        <v>#N/A</v>
      </c>
      <c r="X33" s="1355"/>
      <c r="Y33" s="3645"/>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45"/>
      <c r="Q34" s="1343" t="str">
        <f t="shared" si="11"/>
        <v>物业管理</v>
      </c>
      <c r="R34" s="701" t="s">
        <v>14</v>
      </c>
      <c r="S34" s="702">
        <f t="shared" si="12"/>
        <v>100</v>
      </c>
      <c r="T34" s="701" t="s">
        <v>14</v>
      </c>
      <c r="U34" s="702">
        <f t="shared" si="13"/>
        <v>100</v>
      </c>
      <c r="V34" s="701" t="s">
        <v>14</v>
      </c>
      <c r="W34" s="702">
        <f t="shared" si="14"/>
        <v>100</v>
      </c>
      <c r="X34" s="703"/>
      <c r="Y34" s="3645"/>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45" t="s">
        <v>1679</v>
      </c>
      <c r="Q35" s="1352" t="str">
        <f t="shared" si="11"/>
        <v>市政基础设施</v>
      </c>
      <c r="R35" s="705" t="s">
        <v>14</v>
      </c>
      <c r="S35" s="706">
        <f t="shared" si="12"/>
        <v>100</v>
      </c>
      <c r="T35" s="705" t="s">
        <v>14</v>
      </c>
      <c r="U35" s="706">
        <f t="shared" si="13"/>
        <v>100</v>
      </c>
      <c r="V35" s="705" t="s">
        <v>14</v>
      </c>
      <c r="W35" s="706">
        <f t="shared" si="14"/>
        <v>100</v>
      </c>
      <c r="X35" s="1355"/>
      <c r="Y35" s="3645"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45"/>
      <c r="Q36" s="1352" t="str">
        <f t="shared" si="11"/>
        <v>内部装修</v>
      </c>
      <c r="R36" s="705" t="s">
        <v>14</v>
      </c>
      <c r="S36" s="706">
        <f t="shared" si="12"/>
        <v>100</v>
      </c>
      <c r="T36" s="705" t="s">
        <v>14</v>
      </c>
      <c r="U36" s="706">
        <f t="shared" si="13"/>
        <v>100</v>
      </c>
      <c r="V36" s="705" t="s">
        <v>14</v>
      </c>
      <c r="W36" s="706">
        <f t="shared" si="14"/>
        <v>100</v>
      </c>
      <c r="X36" s="1355"/>
      <c r="Y36" s="3645"/>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45"/>
      <c r="Q37" s="1352" t="str">
        <f t="shared" si="11"/>
        <v>内部装修状况</v>
      </c>
      <c r="R37" s="705" t="s">
        <v>14</v>
      </c>
      <c r="S37" s="706">
        <f t="shared" si="12"/>
        <v>100</v>
      </c>
      <c r="T37" s="705" t="s">
        <v>14</v>
      </c>
      <c r="U37" s="706">
        <f t="shared" si="13"/>
        <v>100</v>
      </c>
      <c r="V37" s="705" t="s">
        <v>14</v>
      </c>
      <c r="W37" s="706">
        <f t="shared" si="14"/>
        <v>100</v>
      </c>
      <c r="X37" s="1355"/>
      <c r="Y37" s="364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45"/>
      <c r="Q38" s="707">
        <f t="shared" si="11"/>
        <v>111</v>
      </c>
      <c r="R38" s="708" t="s">
        <v>14</v>
      </c>
      <c r="S38" s="709">
        <f t="shared" si="12"/>
        <v>100</v>
      </c>
      <c r="T38" s="708" t="s">
        <v>14</v>
      </c>
      <c r="U38" s="709">
        <f t="shared" si="13"/>
        <v>100</v>
      </c>
      <c r="V38" s="708" t="s">
        <v>14</v>
      </c>
      <c r="W38" s="709">
        <f t="shared" si="14"/>
        <v>100</v>
      </c>
      <c r="X38" s="710"/>
      <c r="Y38" s="364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45"/>
      <c r="Q39" s="1352">
        <f t="shared" si="11"/>
        <v>111</v>
      </c>
      <c r="R39" s="705" t="s">
        <v>14</v>
      </c>
      <c r="S39" s="706">
        <f t="shared" si="12"/>
        <v>100</v>
      </c>
      <c r="T39" s="705" t="s">
        <v>14</v>
      </c>
      <c r="U39" s="706">
        <f t="shared" si="13"/>
        <v>100</v>
      </c>
      <c r="V39" s="705" t="s">
        <v>14</v>
      </c>
      <c r="W39" s="706">
        <f t="shared" si="14"/>
        <v>100</v>
      </c>
      <c r="X39" s="1355"/>
      <c r="Y39" s="364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46"/>
      <c r="Q40" s="1352">
        <f t="shared" si="11"/>
        <v>111</v>
      </c>
      <c r="R40" s="705" t="s">
        <v>14</v>
      </c>
      <c r="S40" s="706">
        <f t="shared" si="12"/>
        <v>100</v>
      </c>
      <c r="T40" s="705" t="s">
        <v>14</v>
      </c>
      <c r="U40" s="706">
        <f t="shared" si="13"/>
        <v>100</v>
      </c>
      <c r="V40" s="705" t="s">
        <v>14</v>
      </c>
      <c r="W40" s="706">
        <f t="shared" si="14"/>
        <v>100</v>
      </c>
      <c r="X40" s="1355"/>
      <c r="Y40" s="3646"/>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33" t="str">
        <f>A41</f>
        <v>成交单价（元/平方米）</v>
      </c>
      <c r="Q41" s="3633"/>
      <c r="R41" s="3634">
        <f>E41</f>
        <v>0</v>
      </c>
      <c r="S41" s="3634"/>
      <c r="T41" s="3634">
        <f>G41</f>
        <v>0</v>
      </c>
      <c r="U41" s="3634"/>
      <c r="V41" s="3634">
        <f>I41</f>
        <v>0</v>
      </c>
      <c r="W41" s="3634"/>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33" t="str">
        <f>A42</f>
        <v>比较价值（元/平方米）</v>
      </c>
      <c r="Q42" s="3633"/>
      <c r="R42" s="3634" t="e">
        <f>IF(F1="售价",ROUND(PRODUCT(R41,AA7:AA40),0),ROUND(PRODUCT(R41,AA7:AA40),1))</f>
        <v>#DIV/0!</v>
      </c>
      <c r="S42" s="3634"/>
      <c r="T42" s="3634" t="e">
        <f>IF(F1="售价",ROUND(PRODUCT(T41,AB7:AB40),0),ROUND(PRODUCT(T41,AB7:AB40),1))</f>
        <v>#DIV/0!</v>
      </c>
      <c r="U42" s="3634"/>
      <c r="V42" s="3634" t="e">
        <f>IF(F1="售价",ROUND(PRODUCT(V41,AC7:AC40),0),ROUND(PRODUCT(V41,AC7:AC40),1))</f>
        <v>#DIV/0!</v>
      </c>
      <c r="W42" s="3634"/>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35" t="str">
        <f>A43</f>
        <v>估价对象XX用房的比较价值（楼面单价，元/平方米）</v>
      </c>
      <c r="Q43" s="3636"/>
      <c r="R43" s="3637" t="e">
        <f>IF(F1="售价",ROUND(IF(D42="简单平均",AVERAGE(R42:V42),R42*F42+T42*H42+V42*J42),0),ROUND(IF(D42="简单平均",AVERAGE(R42:V42),R42*F42+T42*H42+V42*J42),1))</f>
        <v>#DIV/0!</v>
      </c>
      <c r="S43" s="3637"/>
      <c r="T43" s="3637"/>
      <c r="U43" s="3637"/>
      <c r="V43" s="3637"/>
      <c r="W43" s="3637"/>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62" t="s">
        <v>1754</v>
      </c>
      <c r="S4" s="3663"/>
      <c r="T4" s="3662" t="s">
        <v>1755</v>
      </c>
      <c r="U4" s="3663"/>
      <c r="V4" s="3647" t="s">
        <v>1756</v>
      </c>
      <c r="W4" s="3647"/>
      <c r="X4" s="1355"/>
      <c r="Y4" s="3662" t="s">
        <v>1758</v>
      </c>
      <c r="Z4" s="3663"/>
      <c r="AA4" s="3649" t="s">
        <v>1754</v>
      </c>
      <c r="AB4" s="3650" t="s">
        <v>1755</v>
      </c>
      <c r="AC4" s="3649" t="s">
        <v>1756</v>
      </c>
    </row>
    <row r="5" spans="1:29" ht="15">
      <c r="A5" s="358"/>
      <c r="B5" s="359"/>
      <c r="C5" s="3670" t="s">
        <v>1656</v>
      </c>
      <c r="D5" s="3671"/>
      <c r="E5" s="3678" t="s">
        <v>1657</v>
      </c>
      <c r="F5" s="3679"/>
      <c r="G5" s="3670" t="s">
        <v>1658</v>
      </c>
      <c r="H5" s="3671"/>
      <c r="I5" s="3670" t="s">
        <v>1659</v>
      </c>
      <c r="J5" s="3671"/>
      <c r="K5" s="559"/>
      <c r="L5" s="2690"/>
      <c r="M5" s="2691"/>
      <c r="N5" s="2691"/>
      <c r="O5" s="2691"/>
      <c r="P5" s="3658"/>
      <c r="Q5" s="3659"/>
      <c r="R5" s="3664"/>
      <c r="S5" s="3665"/>
      <c r="T5" s="3664"/>
      <c r="U5" s="3665"/>
      <c r="V5" s="3647"/>
      <c r="W5" s="3647"/>
      <c r="X5" s="1355"/>
      <c r="Y5" s="3664"/>
      <c r="Z5" s="3665"/>
      <c r="AA5" s="3650"/>
      <c r="AB5" s="3650"/>
      <c r="AC5" s="3650"/>
    </row>
    <row r="6" spans="1:29" ht="15.75" thickBot="1">
      <c r="A6" s="360"/>
      <c r="B6" s="361"/>
      <c r="C6" s="3709" t="s">
        <v>1660</v>
      </c>
      <c r="D6" s="3669"/>
      <c r="E6" s="3710" t="s">
        <v>1660</v>
      </c>
      <c r="F6" s="3677"/>
      <c r="G6" s="3709" t="s">
        <v>1660</v>
      </c>
      <c r="H6" s="3669"/>
      <c r="I6" s="3709" t="s">
        <v>1660</v>
      </c>
      <c r="J6" s="3669"/>
      <c r="K6" s="559" t="s">
        <v>1661</v>
      </c>
      <c r="L6" s="2690"/>
      <c r="M6" s="2691"/>
      <c r="N6" s="2691"/>
      <c r="O6" s="2691"/>
      <c r="P6" s="3660"/>
      <c r="Q6" s="3661"/>
      <c r="R6" s="3664"/>
      <c r="S6" s="3665"/>
      <c r="T6" s="3666"/>
      <c r="U6" s="3667"/>
      <c r="V6" s="3647"/>
      <c r="W6" s="3647"/>
      <c r="X6" s="1355"/>
      <c r="Y6" s="3666"/>
      <c r="Z6" s="3667"/>
      <c r="AA6" s="3651"/>
      <c r="AB6" s="3651"/>
      <c r="AC6" s="3651"/>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72" t="s">
        <v>1663</v>
      </c>
      <c r="Q7" s="3674"/>
      <c r="R7" s="701" t="s">
        <v>14</v>
      </c>
      <c r="S7" s="702">
        <f t="shared" ref="S7:S14" si="0">F7</f>
        <v>0</v>
      </c>
      <c r="T7" s="701" t="s">
        <v>14</v>
      </c>
      <c r="U7" s="702">
        <f t="shared" ref="U7:U14" si="1">H7</f>
        <v>0</v>
      </c>
      <c r="V7" s="701" t="s">
        <v>14</v>
      </c>
      <c r="W7" s="702">
        <f t="shared" ref="W7:W14" si="2">J7</f>
        <v>0</v>
      </c>
      <c r="X7" s="703"/>
      <c r="Y7" s="3672" t="s">
        <v>1663</v>
      </c>
      <c r="Z7" s="3673"/>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72" t="s">
        <v>1666</v>
      </c>
      <c r="Q8" s="3673"/>
      <c r="R8" s="701" t="s">
        <v>14</v>
      </c>
      <c r="S8" s="702">
        <f t="shared" si="0"/>
        <v>100</v>
      </c>
      <c r="T8" s="701" t="s">
        <v>14</v>
      </c>
      <c r="U8" s="702">
        <f t="shared" si="1"/>
        <v>100</v>
      </c>
      <c r="V8" s="701" t="s">
        <v>14</v>
      </c>
      <c r="W8" s="702">
        <f t="shared" si="2"/>
        <v>100</v>
      </c>
      <c r="X8" s="703"/>
      <c r="Y8" s="3672" t="s">
        <v>1666</v>
      </c>
      <c r="Z8" s="3673"/>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33" t="s">
        <v>1669</v>
      </c>
      <c r="Q9" s="1343" t="str">
        <f t="shared" ref="Q9:Q14" si="6">B9</f>
        <v>用途</v>
      </c>
      <c r="R9" s="701" t="s">
        <v>14</v>
      </c>
      <c r="S9" s="702">
        <f t="shared" si="0"/>
        <v>100</v>
      </c>
      <c r="T9" s="701" t="s">
        <v>14</v>
      </c>
      <c r="U9" s="702">
        <f t="shared" si="1"/>
        <v>100</v>
      </c>
      <c r="V9" s="701" t="s">
        <v>14</v>
      </c>
      <c r="W9" s="702">
        <f t="shared" si="2"/>
        <v>100</v>
      </c>
      <c r="X9" s="703"/>
      <c r="Y9" s="3542"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33"/>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33"/>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33"/>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33"/>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40" t="s">
        <v>1674</v>
      </c>
      <c r="Q14" s="1352" t="str">
        <f t="shared" si="6"/>
        <v>交通便捷度</v>
      </c>
      <c r="R14" s="705" t="s">
        <v>14</v>
      </c>
      <c r="S14" s="706">
        <f t="shared" si="0"/>
        <v>100</v>
      </c>
      <c r="T14" s="705" t="s">
        <v>14</v>
      </c>
      <c r="U14" s="706">
        <f t="shared" si="1"/>
        <v>100</v>
      </c>
      <c r="V14" s="705" t="s">
        <v>14</v>
      </c>
      <c r="W14" s="706">
        <f t="shared" si="2"/>
        <v>100</v>
      </c>
      <c r="X14" s="1355"/>
      <c r="Y14" s="3640"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41"/>
      <c r="Q15" s="1352"/>
      <c r="R15" s="705"/>
      <c r="S15" s="706"/>
      <c r="T15" s="705"/>
      <c r="U15" s="706"/>
      <c r="V15" s="705"/>
      <c r="W15" s="706"/>
      <c r="X15" s="1355"/>
      <c r="Y15" s="3641"/>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41"/>
      <c r="Q16" s="1352" t="str">
        <f>B16</f>
        <v>公共配套设施</v>
      </c>
      <c r="R16" s="705" t="s">
        <v>14</v>
      </c>
      <c r="S16" s="706">
        <f>F16</f>
        <v>100</v>
      </c>
      <c r="T16" s="705" t="s">
        <v>14</v>
      </c>
      <c r="U16" s="706">
        <f>H16</f>
        <v>100</v>
      </c>
      <c r="V16" s="705" t="s">
        <v>14</v>
      </c>
      <c r="W16" s="706">
        <f>J16</f>
        <v>100</v>
      </c>
      <c r="X16" s="1355"/>
      <c r="Y16" s="364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41"/>
      <c r="Q17" s="1352"/>
      <c r="R17" s="705"/>
      <c r="S17" s="706"/>
      <c r="T17" s="705"/>
      <c r="U17" s="706"/>
      <c r="V17" s="705"/>
      <c r="W17" s="706"/>
      <c r="X17" s="1355"/>
      <c r="Y17" s="3641"/>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41"/>
      <c r="Q18" s="1352" t="str">
        <f>B18</f>
        <v>基础设施水平</v>
      </c>
      <c r="R18" s="705" t="s">
        <v>14</v>
      </c>
      <c r="S18" s="706">
        <f>F18</f>
        <v>100</v>
      </c>
      <c r="T18" s="705" t="s">
        <v>14</v>
      </c>
      <c r="U18" s="706">
        <f>H18</f>
        <v>100</v>
      </c>
      <c r="V18" s="705" t="s">
        <v>14</v>
      </c>
      <c r="W18" s="706">
        <f>J18</f>
        <v>100</v>
      </c>
      <c r="X18" s="1355"/>
      <c r="Y18" s="364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41"/>
      <c r="Q19" s="1352"/>
      <c r="R19" s="705"/>
      <c r="S19" s="706"/>
      <c r="T19" s="705"/>
      <c r="U19" s="706"/>
      <c r="V19" s="705"/>
      <c r="W19" s="706"/>
      <c r="X19" s="1355"/>
      <c r="Y19" s="3641"/>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41"/>
      <c r="Q20" s="1352" t="str">
        <f>B20</f>
        <v>自然及人文环境</v>
      </c>
      <c r="R20" s="705" t="s">
        <v>14</v>
      </c>
      <c r="S20" s="706">
        <f>F20</f>
        <v>100</v>
      </c>
      <c r="T20" s="705" t="s">
        <v>14</v>
      </c>
      <c r="U20" s="706">
        <f>H20</f>
        <v>100</v>
      </c>
      <c r="V20" s="705" t="s">
        <v>14</v>
      </c>
      <c r="W20" s="706">
        <f>J20</f>
        <v>100</v>
      </c>
      <c r="X20" s="1355"/>
      <c r="Y20" s="364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41"/>
      <c r="Q21" s="1352"/>
      <c r="R21" s="705"/>
      <c r="S21" s="706"/>
      <c r="T21" s="705"/>
      <c r="U21" s="706"/>
      <c r="V21" s="705"/>
      <c r="W21" s="706"/>
      <c r="X21" s="1355"/>
      <c r="Y21" s="3641"/>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41"/>
      <c r="Q22" s="1352" t="str">
        <f>B22</f>
        <v>楼层</v>
      </c>
      <c r="R22" s="705" t="s">
        <v>14</v>
      </c>
      <c r="S22" s="706">
        <f>F22</f>
        <v>100</v>
      </c>
      <c r="T22" s="705" t="s">
        <v>14</v>
      </c>
      <c r="U22" s="706">
        <f>H22</f>
        <v>100</v>
      </c>
      <c r="V22" s="705" t="s">
        <v>14</v>
      </c>
      <c r="W22" s="706">
        <f>J22</f>
        <v>100</v>
      </c>
      <c r="X22" s="1355"/>
      <c r="Y22" s="364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41"/>
      <c r="Q23" s="1352">
        <f>B23</f>
        <v>111</v>
      </c>
      <c r="R23" s="705" t="s">
        <v>14</v>
      </c>
      <c r="S23" s="706">
        <f>F23</f>
        <v>100</v>
      </c>
      <c r="T23" s="705" t="s">
        <v>14</v>
      </c>
      <c r="U23" s="706">
        <f>H23</f>
        <v>100</v>
      </c>
      <c r="V23" s="705" t="s">
        <v>14</v>
      </c>
      <c r="W23" s="706">
        <f>J23</f>
        <v>100</v>
      </c>
      <c r="X23" s="1355"/>
      <c r="Y23" s="364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41"/>
      <c r="Q24" s="1352">
        <f t="shared" ref="Q24:Q36" si="11">B24</f>
        <v>111</v>
      </c>
      <c r="R24" s="705" t="s">
        <v>14</v>
      </c>
      <c r="S24" s="706">
        <f>F24</f>
        <v>100</v>
      </c>
      <c r="T24" s="705" t="s">
        <v>14</v>
      </c>
      <c r="U24" s="706">
        <f>H24</f>
        <v>100</v>
      </c>
      <c r="V24" s="705" t="s">
        <v>14</v>
      </c>
      <c r="W24" s="706">
        <f>J24</f>
        <v>100</v>
      </c>
      <c r="X24" s="1355"/>
      <c r="Y24" s="364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41"/>
      <c r="Q25" s="1343">
        <f t="shared" si="11"/>
        <v>111</v>
      </c>
      <c r="R25" s="701" t="s">
        <v>14</v>
      </c>
      <c r="S25" s="702">
        <f>F25</f>
        <v>100</v>
      </c>
      <c r="T25" s="701" t="s">
        <v>14</v>
      </c>
      <c r="U25" s="702">
        <f>H25</f>
        <v>100</v>
      </c>
      <c r="V25" s="701" t="s">
        <v>14</v>
      </c>
      <c r="W25" s="702">
        <f>J25</f>
        <v>100</v>
      </c>
      <c r="X25" s="703"/>
      <c r="Y25" s="3641"/>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45"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45"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45"/>
      <c r="Q27" s="707" t="str">
        <f t="shared" si="11"/>
        <v>项目停车位配比</v>
      </c>
      <c r="R27" s="708" t="s">
        <v>14</v>
      </c>
      <c r="S27" s="709">
        <f t="shared" si="12"/>
        <v>100</v>
      </c>
      <c r="T27" s="708" t="s">
        <v>14</v>
      </c>
      <c r="U27" s="709">
        <f t="shared" si="13"/>
        <v>100</v>
      </c>
      <c r="V27" s="708" t="s">
        <v>14</v>
      </c>
      <c r="W27" s="709">
        <f t="shared" si="14"/>
        <v>100</v>
      </c>
      <c r="X27" s="710"/>
      <c r="Y27" s="3645"/>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45"/>
      <c r="Q28" s="1352" t="str">
        <f t="shared" si="11"/>
        <v>公共部分装修</v>
      </c>
      <c r="R28" s="705" t="s">
        <v>14</v>
      </c>
      <c r="S28" s="706">
        <f t="shared" si="12"/>
        <v>100</v>
      </c>
      <c r="T28" s="705" t="s">
        <v>14</v>
      </c>
      <c r="U28" s="706">
        <f t="shared" si="13"/>
        <v>100</v>
      </c>
      <c r="V28" s="705" t="s">
        <v>14</v>
      </c>
      <c r="W28" s="706">
        <f t="shared" si="14"/>
        <v>100</v>
      </c>
      <c r="X28" s="1355"/>
      <c r="Y28" s="3645"/>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45"/>
      <c r="Q29" s="1352" t="str">
        <f t="shared" si="11"/>
        <v>成新率</v>
      </c>
      <c r="R29" s="705" t="s">
        <v>14</v>
      </c>
      <c r="S29" s="706" t="e">
        <f t="shared" si="12"/>
        <v>#N/A</v>
      </c>
      <c r="T29" s="705" t="s">
        <v>14</v>
      </c>
      <c r="U29" s="706" t="e">
        <f t="shared" si="13"/>
        <v>#N/A</v>
      </c>
      <c r="V29" s="705" t="s">
        <v>14</v>
      </c>
      <c r="W29" s="706" t="e">
        <f t="shared" si="14"/>
        <v>#N/A</v>
      </c>
      <c r="X29" s="1355"/>
      <c r="Y29" s="3645"/>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45"/>
      <c r="Q30" s="1352" t="str">
        <f t="shared" si="11"/>
        <v>物业等级</v>
      </c>
      <c r="R30" s="705" t="s">
        <v>14</v>
      </c>
      <c r="S30" s="706">
        <f t="shared" si="12"/>
        <v>100</v>
      </c>
      <c r="T30" s="705" t="s">
        <v>14</v>
      </c>
      <c r="U30" s="706">
        <f t="shared" si="13"/>
        <v>100</v>
      </c>
      <c r="V30" s="705" t="s">
        <v>14</v>
      </c>
      <c r="W30" s="706">
        <f t="shared" si="14"/>
        <v>100</v>
      </c>
      <c r="X30" s="1355"/>
      <c r="Y30" s="3645"/>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45"/>
      <c r="Q31" s="1343" t="str">
        <f t="shared" si="11"/>
        <v>停车位面积</v>
      </c>
      <c r="R31" s="701" t="s">
        <v>14</v>
      </c>
      <c r="S31" s="702" t="e">
        <f t="shared" si="12"/>
        <v>#N/A</v>
      </c>
      <c r="T31" s="701" t="s">
        <v>14</v>
      </c>
      <c r="U31" s="702" t="e">
        <f t="shared" si="13"/>
        <v>#N/A</v>
      </c>
      <c r="V31" s="701" t="s">
        <v>14</v>
      </c>
      <c r="W31" s="702" t="e">
        <f t="shared" si="14"/>
        <v>#N/A</v>
      </c>
      <c r="X31" s="703"/>
      <c r="Y31" s="3645"/>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45" t="s">
        <v>1679</v>
      </c>
      <c r="Q32" s="1352" t="str">
        <f t="shared" si="11"/>
        <v>车位类型</v>
      </c>
      <c r="R32" s="705" t="s">
        <v>14</v>
      </c>
      <c r="S32" s="706">
        <f t="shared" si="12"/>
        <v>100</v>
      </c>
      <c r="T32" s="705" t="s">
        <v>14</v>
      </c>
      <c r="U32" s="706">
        <f t="shared" si="13"/>
        <v>100</v>
      </c>
      <c r="V32" s="705" t="s">
        <v>14</v>
      </c>
      <c r="W32" s="706">
        <f t="shared" si="14"/>
        <v>100</v>
      </c>
      <c r="X32" s="1355"/>
      <c r="Y32" s="3645"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45"/>
      <c r="Q33" s="1352" t="str">
        <f t="shared" si="11"/>
        <v>是否直接入户</v>
      </c>
      <c r="R33" s="705" t="s">
        <v>14</v>
      </c>
      <c r="S33" s="706">
        <f t="shared" si="12"/>
        <v>100</v>
      </c>
      <c r="T33" s="705" t="s">
        <v>14</v>
      </c>
      <c r="U33" s="706">
        <f t="shared" si="13"/>
        <v>100</v>
      </c>
      <c r="V33" s="705" t="s">
        <v>14</v>
      </c>
      <c r="W33" s="706">
        <f t="shared" si="14"/>
        <v>100</v>
      </c>
      <c r="X33" s="1355"/>
      <c r="Y33" s="364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45"/>
      <c r="Q34" s="1352">
        <f t="shared" si="11"/>
        <v>111</v>
      </c>
      <c r="R34" s="705" t="s">
        <v>14</v>
      </c>
      <c r="S34" s="706">
        <f t="shared" si="12"/>
        <v>100</v>
      </c>
      <c r="T34" s="705" t="s">
        <v>14</v>
      </c>
      <c r="U34" s="706">
        <f t="shared" si="13"/>
        <v>100</v>
      </c>
      <c r="V34" s="705" t="s">
        <v>14</v>
      </c>
      <c r="W34" s="706">
        <f t="shared" si="14"/>
        <v>100</v>
      </c>
      <c r="X34" s="1355"/>
      <c r="Y34" s="364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45"/>
      <c r="Q35" s="707">
        <f t="shared" si="11"/>
        <v>111</v>
      </c>
      <c r="R35" s="708" t="s">
        <v>14</v>
      </c>
      <c r="S35" s="709">
        <f t="shared" si="12"/>
        <v>100</v>
      </c>
      <c r="T35" s="708" t="s">
        <v>14</v>
      </c>
      <c r="U35" s="709">
        <f t="shared" si="13"/>
        <v>100</v>
      </c>
      <c r="V35" s="708" t="s">
        <v>14</v>
      </c>
      <c r="W35" s="709">
        <f t="shared" si="14"/>
        <v>100</v>
      </c>
      <c r="X35" s="710"/>
      <c r="Y35" s="364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45"/>
      <c r="Q36" s="1352">
        <f t="shared" si="11"/>
        <v>111</v>
      </c>
      <c r="R36" s="705" t="s">
        <v>14</v>
      </c>
      <c r="S36" s="706">
        <f t="shared" si="12"/>
        <v>100</v>
      </c>
      <c r="T36" s="705" t="s">
        <v>14</v>
      </c>
      <c r="U36" s="706">
        <f t="shared" si="13"/>
        <v>100</v>
      </c>
      <c r="V36" s="705" t="s">
        <v>14</v>
      </c>
      <c r="W36" s="706">
        <f t="shared" si="14"/>
        <v>100</v>
      </c>
      <c r="X36" s="1355"/>
      <c r="Y36" s="3645"/>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33" t="str">
        <f>A37</f>
        <v>成交单价</v>
      </c>
      <c r="Q37" s="3633"/>
      <c r="R37" s="3634">
        <f>E37</f>
        <v>0</v>
      </c>
      <c r="S37" s="3634"/>
      <c r="T37" s="3634">
        <f>G37</f>
        <v>0</v>
      </c>
      <c r="U37" s="3634"/>
      <c r="V37" s="3634">
        <f>I37</f>
        <v>0</v>
      </c>
      <c r="W37" s="3634"/>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33" t="str">
        <f>A38</f>
        <v>比较价值（元/平方米）</v>
      </c>
      <c r="Q38" s="3633"/>
      <c r="R38" s="3634" t="e">
        <f>IF(F1="售价",ROUND(PRODUCT(R37,AA7:AA36),0),ROUND(PRODUCT(R37,AA7:AA36),1))</f>
        <v>#DIV/0!</v>
      </c>
      <c r="S38" s="3634"/>
      <c r="T38" s="3634" t="e">
        <f>IF(F1="售价",ROUND(PRODUCT(T37,AB7:AB36),0),ROUND(PRODUCT(T37,AB7:AB36),1))</f>
        <v>#DIV/0!</v>
      </c>
      <c r="U38" s="3634"/>
      <c r="V38" s="3634" t="e">
        <f>IF(F1="售价",ROUND(PRODUCT(V37,AC7:AC36),0),ROUND(PRODUCT(V37,AC7:AC36),1))</f>
        <v>#DIV/0!</v>
      </c>
      <c r="W38" s="3634"/>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35" t="str">
        <f>A39</f>
        <v>估价对象XX用房的比较价值（楼面单价，元/平方米）</v>
      </c>
      <c r="Q39" s="3636"/>
      <c r="R39" s="3746" t="e">
        <f>IF(F1="售价",ROUND(IF(D38="简单平均",AVERAGE(R38:W38),R38*F38+T38*H38+V38*J38),0),ROUND(IF(D38="简单平均",AVERAGE(R38:V38),R38*F38+T38*H38+V38*J38),1))</f>
        <v>#DIV/0!</v>
      </c>
      <c r="S39" s="3746"/>
      <c r="T39" s="3746"/>
      <c r="U39" s="3746"/>
      <c r="V39" s="3746"/>
      <c r="W39" s="3746"/>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62" t="s">
        <v>1754</v>
      </c>
      <c r="S4" s="3663"/>
      <c r="T4" s="3662" t="s">
        <v>1755</v>
      </c>
      <c r="U4" s="3663"/>
      <c r="V4" s="3647" t="s">
        <v>1756</v>
      </c>
      <c r="W4" s="3647"/>
      <c r="X4" s="1355"/>
      <c r="Y4" s="3662" t="s">
        <v>1758</v>
      </c>
      <c r="Z4" s="3663"/>
      <c r="AA4" s="3649" t="s">
        <v>1754</v>
      </c>
      <c r="AB4" s="3650" t="s">
        <v>1755</v>
      </c>
      <c r="AC4" s="3649" t="s">
        <v>1756</v>
      </c>
    </row>
    <row r="5" spans="1:29" ht="15">
      <c r="A5" s="358"/>
      <c r="B5" s="359"/>
      <c r="C5" s="3670" t="s">
        <v>1656</v>
      </c>
      <c r="D5" s="3671"/>
      <c r="E5" s="3678" t="s">
        <v>1657</v>
      </c>
      <c r="F5" s="3679"/>
      <c r="G5" s="3670" t="s">
        <v>1658</v>
      </c>
      <c r="H5" s="3671"/>
      <c r="I5" s="3670" t="s">
        <v>1659</v>
      </c>
      <c r="J5" s="3671"/>
      <c r="K5" s="559"/>
      <c r="L5" s="2690"/>
      <c r="M5" s="2691"/>
      <c r="N5" s="2691"/>
      <c r="O5" s="2691"/>
      <c r="P5" s="3658"/>
      <c r="Q5" s="3659"/>
      <c r="R5" s="3664"/>
      <c r="S5" s="3665"/>
      <c r="T5" s="3664"/>
      <c r="U5" s="3665"/>
      <c r="V5" s="3647"/>
      <c r="W5" s="3647"/>
      <c r="X5" s="1355"/>
      <c r="Y5" s="3664"/>
      <c r="Z5" s="3665"/>
      <c r="AA5" s="3650"/>
      <c r="AB5" s="3650"/>
      <c r="AC5" s="3650"/>
    </row>
    <row r="6" spans="1:29" ht="15.75" thickBot="1">
      <c r="A6" s="360"/>
      <c r="B6" s="361"/>
      <c r="C6" s="3709" t="s">
        <v>1660</v>
      </c>
      <c r="D6" s="3669"/>
      <c r="E6" s="3710" t="s">
        <v>1660</v>
      </c>
      <c r="F6" s="3677"/>
      <c r="G6" s="3709" t="s">
        <v>1660</v>
      </c>
      <c r="H6" s="3669"/>
      <c r="I6" s="3709" t="s">
        <v>1660</v>
      </c>
      <c r="J6" s="3669"/>
      <c r="K6" s="559" t="s">
        <v>1661</v>
      </c>
      <c r="L6" s="2690"/>
      <c r="M6" s="2691"/>
      <c r="N6" s="2691"/>
      <c r="O6" s="2691"/>
      <c r="P6" s="3660"/>
      <c r="Q6" s="3661"/>
      <c r="R6" s="3664"/>
      <c r="S6" s="3665"/>
      <c r="T6" s="3666"/>
      <c r="U6" s="3667"/>
      <c r="V6" s="3647"/>
      <c r="W6" s="3647"/>
      <c r="X6" s="1355"/>
      <c r="Y6" s="3666"/>
      <c r="Z6" s="3667"/>
      <c r="AA6" s="3651"/>
      <c r="AB6" s="3651"/>
      <c r="AC6" s="3651"/>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72" t="s">
        <v>1663</v>
      </c>
      <c r="Q7" s="3674"/>
      <c r="R7" s="701" t="s">
        <v>14</v>
      </c>
      <c r="S7" s="702">
        <f t="shared" ref="S7:S14" si="0">F7</f>
        <v>0</v>
      </c>
      <c r="T7" s="701" t="s">
        <v>14</v>
      </c>
      <c r="U7" s="702">
        <f t="shared" ref="U7:U14" si="1">H7</f>
        <v>0</v>
      </c>
      <c r="V7" s="701" t="s">
        <v>14</v>
      </c>
      <c r="W7" s="702">
        <f t="shared" ref="W7:W14" si="2">J7</f>
        <v>0</v>
      </c>
      <c r="X7" s="703"/>
      <c r="Y7" s="3672" t="s">
        <v>1663</v>
      </c>
      <c r="Z7" s="3673"/>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72" t="s">
        <v>1666</v>
      </c>
      <c r="Q8" s="3673"/>
      <c r="R8" s="701" t="s">
        <v>14</v>
      </c>
      <c r="S8" s="702">
        <f t="shared" si="0"/>
        <v>100</v>
      </c>
      <c r="T8" s="701" t="s">
        <v>14</v>
      </c>
      <c r="U8" s="702">
        <f t="shared" si="1"/>
        <v>100</v>
      </c>
      <c r="V8" s="701" t="s">
        <v>14</v>
      </c>
      <c r="W8" s="702">
        <f t="shared" si="2"/>
        <v>100</v>
      </c>
      <c r="X8" s="703"/>
      <c r="Y8" s="3672" t="s">
        <v>1666</v>
      </c>
      <c r="Z8" s="3673"/>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33" t="s">
        <v>1669</v>
      </c>
      <c r="Q9" s="1343" t="str">
        <f t="shared" ref="Q9:Q14" si="6">B9</f>
        <v>用途</v>
      </c>
      <c r="R9" s="701" t="s">
        <v>14</v>
      </c>
      <c r="S9" s="702">
        <f t="shared" si="0"/>
        <v>100</v>
      </c>
      <c r="T9" s="701" t="s">
        <v>14</v>
      </c>
      <c r="U9" s="702">
        <f t="shared" si="1"/>
        <v>100</v>
      </c>
      <c r="V9" s="701" t="s">
        <v>14</v>
      </c>
      <c r="W9" s="702">
        <f t="shared" si="2"/>
        <v>100</v>
      </c>
      <c r="X9" s="703"/>
      <c r="Y9" s="3542"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33"/>
      <c r="Q10" s="1343" t="str">
        <f t="shared" si="6"/>
        <v>土地使用年限（年）</v>
      </c>
      <c r="R10" s="701" t="s">
        <v>14</v>
      </c>
      <c r="S10" s="702">
        <f t="shared" si="0"/>
        <v>100</v>
      </c>
      <c r="T10" s="701" t="s">
        <v>14</v>
      </c>
      <c r="U10" s="702">
        <f t="shared" si="1"/>
        <v>100</v>
      </c>
      <c r="V10" s="701" t="s">
        <v>14</v>
      </c>
      <c r="W10" s="702">
        <f t="shared" si="2"/>
        <v>100</v>
      </c>
      <c r="X10" s="703"/>
      <c r="Y10" s="354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33"/>
      <c r="Q11" s="1343">
        <f t="shared" si="6"/>
        <v>111</v>
      </c>
      <c r="R11" s="701" t="s">
        <v>14</v>
      </c>
      <c r="S11" s="702">
        <f t="shared" si="0"/>
        <v>100</v>
      </c>
      <c r="T11" s="701" t="s">
        <v>14</v>
      </c>
      <c r="U11" s="702">
        <f t="shared" si="1"/>
        <v>100</v>
      </c>
      <c r="V11" s="701" t="s">
        <v>14</v>
      </c>
      <c r="W11" s="702">
        <f t="shared" si="2"/>
        <v>100</v>
      </c>
      <c r="X11" s="703"/>
      <c r="Y11" s="354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33"/>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33"/>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40" t="s">
        <v>1674</v>
      </c>
      <c r="Q14" s="1352" t="str">
        <f t="shared" si="6"/>
        <v>交通便捷度</v>
      </c>
      <c r="R14" s="705" t="s">
        <v>14</v>
      </c>
      <c r="S14" s="706">
        <f t="shared" si="0"/>
        <v>100</v>
      </c>
      <c r="T14" s="705" t="s">
        <v>14</v>
      </c>
      <c r="U14" s="706">
        <f t="shared" si="1"/>
        <v>100</v>
      </c>
      <c r="V14" s="705" t="s">
        <v>14</v>
      </c>
      <c r="W14" s="706">
        <f t="shared" si="2"/>
        <v>100</v>
      </c>
      <c r="X14" s="1355"/>
      <c r="Y14" s="3640"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41"/>
      <c r="Q15" s="1352"/>
      <c r="R15" s="705"/>
      <c r="S15" s="706"/>
      <c r="T15" s="705"/>
      <c r="U15" s="706"/>
      <c r="V15" s="705"/>
      <c r="W15" s="706"/>
      <c r="X15" s="1355"/>
      <c r="Y15" s="3641"/>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41"/>
      <c r="Q16" s="1352" t="str">
        <f>B16</f>
        <v>公共配套设施</v>
      </c>
      <c r="R16" s="705" t="s">
        <v>14</v>
      </c>
      <c r="S16" s="706">
        <f>F16</f>
        <v>100</v>
      </c>
      <c r="T16" s="705" t="s">
        <v>14</v>
      </c>
      <c r="U16" s="706">
        <f>H16</f>
        <v>100</v>
      </c>
      <c r="V16" s="705" t="s">
        <v>14</v>
      </c>
      <c r="W16" s="706">
        <f>J16</f>
        <v>100</v>
      </c>
      <c r="X16" s="1355"/>
      <c r="Y16" s="364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41"/>
      <c r="Q17" s="1352"/>
      <c r="R17" s="705"/>
      <c r="S17" s="706"/>
      <c r="T17" s="705"/>
      <c r="U17" s="706"/>
      <c r="V17" s="705"/>
      <c r="W17" s="706"/>
      <c r="X17" s="1355"/>
      <c r="Y17" s="3641"/>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41"/>
      <c r="Q18" s="1352" t="str">
        <f>B18</f>
        <v>基础设施水平</v>
      </c>
      <c r="R18" s="705" t="s">
        <v>14</v>
      </c>
      <c r="S18" s="706">
        <f>F18</f>
        <v>100</v>
      </c>
      <c r="T18" s="705" t="s">
        <v>14</v>
      </c>
      <c r="U18" s="706">
        <f>H18</f>
        <v>100</v>
      </c>
      <c r="V18" s="705" t="s">
        <v>14</v>
      </c>
      <c r="W18" s="706">
        <f>J18</f>
        <v>100</v>
      </c>
      <c r="X18" s="1355"/>
      <c r="Y18" s="364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41"/>
      <c r="Q19" s="1352"/>
      <c r="R19" s="705"/>
      <c r="S19" s="706"/>
      <c r="T19" s="705"/>
      <c r="U19" s="706"/>
      <c r="V19" s="705"/>
      <c r="W19" s="706"/>
      <c r="X19" s="1355"/>
      <c r="Y19" s="3641"/>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41"/>
      <c r="Q20" s="1352" t="str">
        <f>B20</f>
        <v>自然及人文环境</v>
      </c>
      <c r="R20" s="705" t="s">
        <v>14</v>
      </c>
      <c r="S20" s="706">
        <f>F20</f>
        <v>100</v>
      </c>
      <c r="T20" s="705" t="s">
        <v>14</v>
      </c>
      <c r="U20" s="706">
        <f>H20</f>
        <v>100</v>
      </c>
      <c r="V20" s="705" t="s">
        <v>14</v>
      </c>
      <c r="W20" s="706">
        <f>J20</f>
        <v>100</v>
      </c>
      <c r="X20" s="1355"/>
      <c r="Y20" s="364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41"/>
      <c r="Q21" s="1352"/>
      <c r="R21" s="705"/>
      <c r="S21" s="706"/>
      <c r="T21" s="705"/>
      <c r="U21" s="706"/>
      <c r="V21" s="705"/>
      <c r="W21" s="706"/>
      <c r="X21" s="1355"/>
      <c r="Y21" s="3641"/>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41"/>
      <c r="Q22" s="1352" t="str">
        <f>B22</f>
        <v>楼层</v>
      </c>
      <c r="R22" s="705" t="s">
        <v>14</v>
      </c>
      <c r="S22" s="706">
        <f>F22</f>
        <v>100</v>
      </c>
      <c r="T22" s="705" t="s">
        <v>14</v>
      </c>
      <c r="U22" s="706">
        <f>H22</f>
        <v>100</v>
      </c>
      <c r="V22" s="705" t="s">
        <v>14</v>
      </c>
      <c r="W22" s="706">
        <f>J22</f>
        <v>100</v>
      </c>
      <c r="X22" s="1355"/>
      <c r="Y22" s="364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41"/>
      <c r="Q23" s="1352">
        <f>B23</f>
        <v>111</v>
      </c>
      <c r="R23" s="705" t="s">
        <v>14</v>
      </c>
      <c r="S23" s="706">
        <f>F23</f>
        <v>100</v>
      </c>
      <c r="T23" s="705" t="s">
        <v>14</v>
      </c>
      <c r="U23" s="706">
        <f>H23</f>
        <v>100</v>
      </c>
      <c r="V23" s="705" t="s">
        <v>14</v>
      </c>
      <c r="W23" s="706">
        <f>J23</f>
        <v>100</v>
      </c>
      <c r="X23" s="1355"/>
      <c r="Y23" s="364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41"/>
      <c r="Q24" s="1352">
        <f t="shared" ref="Q24:Q34" si="11">B24</f>
        <v>111</v>
      </c>
      <c r="R24" s="705" t="s">
        <v>14</v>
      </c>
      <c r="S24" s="706">
        <f>F24</f>
        <v>100</v>
      </c>
      <c r="T24" s="705" t="s">
        <v>14</v>
      </c>
      <c r="U24" s="706">
        <f>H24</f>
        <v>100</v>
      </c>
      <c r="V24" s="705" t="s">
        <v>14</v>
      </c>
      <c r="W24" s="706">
        <f>J24</f>
        <v>100</v>
      </c>
      <c r="X24" s="1355"/>
      <c r="Y24" s="364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41"/>
      <c r="Q25" s="1343">
        <f t="shared" si="11"/>
        <v>111</v>
      </c>
      <c r="R25" s="701" t="s">
        <v>14</v>
      </c>
      <c r="S25" s="702">
        <f>F25</f>
        <v>100</v>
      </c>
      <c r="T25" s="701" t="s">
        <v>14</v>
      </c>
      <c r="U25" s="702">
        <f>H25</f>
        <v>100</v>
      </c>
      <c r="V25" s="701" t="s">
        <v>14</v>
      </c>
      <c r="W25" s="702">
        <f>J25</f>
        <v>100</v>
      </c>
      <c r="X25" s="703"/>
      <c r="Y25" s="3641"/>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45"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45"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45"/>
      <c r="Q27" s="707" t="str">
        <f t="shared" si="11"/>
        <v>成新率</v>
      </c>
      <c r="R27" s="708" t="s">
        <v>14</v>
      </c>
      <c r="S27" s="709" t="e">
        <f t="shared" si="12"/>
        <v>#N/A</v>
      </c>
      <c r="T27" s="708" t="s">
        <v>14</v>
      </c>
      <c r="U27" s="709" t="e">
        <f t="shared" si="13"/>
        <v>#N/A</v>
      </c>
      <c r="V27" s="708" t="s">
        <v>14</v>
      </c>
      <c r="W27" s="709" t="e">
        <f t="shared" si="14"/>
        <v>#N/A</v>
      </c>
      <c r="X27" s="710"/>
      <c r="Y27" s="3645"/>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45"/>
      <c r="Q28" s="1352" t="str">
        <f t="shared" si="11"/>
        <v>物业等级</v>
      </c>
      <c r="R28" s="705" t="s">
        <v>14</v>
      </c>
      <c r="S28" s="706">
        <f t="shared" si="12"/>
        <v>100</v>
      </c>
      <c r="T28" s="705" t="s">
        <v>14</v>
      </c>
      <c r="U28" s="706">
        <f t="shared" si="13"/>
        <v>100</v>
      </c>
      <c r="V28" s="705" t="s">
        <v>14</v>
      </c>
      <c r="W28" s="706">
        <f t="shared" si="14"/>
        <v>100</v>
      </c>
      <c r="X28" s="1355"/>
      <c r="Y28" s="3645"/>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45"/>
      <c r="Q29" s="1352" t="str">
        <f t="shared" si="11"/>
        <v>有无电梯</v>
      </c>
      <c r="R29" s="705" t="s">
        <v>14</v>
      </c>
      <c r="S29" s="706">
        <f t="shared" si="12"/>
        <v>100</v>
      </c>
      <c r="T29" s="705" t="s">
        <v>14</v>
      </c>
      <c r="U29" s="706">
        <f t="shared" si="13"/>
        <v>100</v>
      </c>
      <c r="V29" s="705" t="s">
        <v>14</v>
      </c>
      <c r="W29" s="706">
        <f t="shared" si="14"/>
        <v>100</v>
      </c>
      <c r="X29" s="1355"/>
      <c r="Y29" s="3645"/>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45"/>
      <c r="Q30" s="1352" t="str">
        <f t="shared" si="11"/>
        <v>建筑面积</v>
      </c>
      <c r="R30" s="705" t="s">
        <v>14</v>
      </c>
      <c r="S30" s="706" t="e">
        <f t="shared" si="12"/>
        <v>#N/A</v>
      </c>
      <c r="T30" s="705" t="s">
        <v>14</v>
      </c>
      <c r="U30" s="706" t="e">
        <f t="shared" si="13"/>
        <v>#N/A</v>
      </c>
      <c r="V30" s="705" t="s">
        <v>14</v>
      </c>
      <c r="W30" s="706" t="e">
        <f t="shared" si="14"/>
        <v>#N/A</v>
      </c>
      <c r="X30" s="1355"/>
      <c r="Y30" s="3645"/>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45"/>
      <c r="Q31" s="1343" t="str">
        <f t="shared" si="11"/>
        <v>是否封闭</v>
      </c>
      <c r="R31" s="701" t="s">
        <v>14</v>
      </c>
      <c r="S31" s="702">
        <f t="shared" si="12"/>
        <v>100</v>
      </c>
      <c r="T31" s="701" t="s">
        <v>14</v>
      </c>
      <c r="U31" s="702">
        <f t="shared" si="13"/>
        <v>100</v>
      </c>
      <c r="V31" s="701" t="s">
        <v>14</v>
      </c>
      <c r="W31" s="702">
        <f t="shared" si="14"/>
        <v>100</v>
      </c>
      <c r="X31" s="703"/>
      <c r="Y31" s="364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45" t="s">
        <v>1679</v>
      </c>
      <c r="Q32" s="1352">
        <f t="shared" si="11"/>
        <v>111</v>
      </c>
      <c r="R32" s="705" t="s">
        <v>14</v>
      </c>
      <c r="S32" s="706">
        <f t="shared" si="12"/>
        <v>100</v>
      </c>
      <c r="T32" s="705" t="s">
        <v>14</v>
      </c>
      <c r="U32" s="706">
        <f t="shared" si="13"/>
        <v>100</v>
      </c>
      <c r="V32" s="705" t="s">
        <v>14</v>
      </c>
      <c r="W32" s="706">
        <f t="shared" si="14"/>
        <v>100</v>
      </c>
      <c r="X32" s="1355"/>
      <c r="Y32" s="3645"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45"/>
      <c r="Q33" s="1352">
        <f t="shared" si="11"/>
        <v>111</v>
      </c>
      <c r="R33" s="705" t="s">
        <v>14</v>
      </c>
      <c r="S33" s="706">
        <f t="shared" si="12"/>
        <v>100</v>
      </c>
      <c r="T33" s="705" t="s">
        <v>14</v>
      </c>
      <c r="U33" s="706">
        <f t="shared" si="13"/>
        <v>100</v>
      </c>
      <c r="V33" s="705" t="s">
        <v>14</v>
      </c>
      <c r="W33" s="706">
        <f t="shared" si="14"/>
        <v>100</v>
      </c>
      <c r="X33" s="1355"/>
      <c r="Y33" s="364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45"/>
      <c r="Q34" s="1352">
        <f t="shared" si="11"/>
        <v>111</v>
      </c>
      <c r="R34" s="705" t="s">
        <v>14</v>
      </c>
      <c r="S34" s="706">
        <f t="shared" si="12"/>
        <v>100</v>
      </c>
      <c r="T34" s="705" t="s">
        <v>14</v>
      </c>
      <c r="U34" s="706">
        <f t="shared" si="13"/>
        <v>100</v>
      </c>
      <c r="V34" s="705" t="s">
        <v>14</v>
      </c>
      <c r="W34" s="706">
        <f t="shared" si="14"/>
        <v>100</v>
      </c>
      <c r="X34" s="1355"/>
      <c r="Y34" s="3645"/>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33" t="str">
        <f>A35</f>
        <v>成交单价（元/平方米）</v>
      </c>
      <c r="Q35" s="3633"/>
      <c r="R35" s="3634">
        <f>E35</f>
        <v>0</v>
      </c>
      <c r="S35" s="3634"/>
      <c r="T35" s="3634">
        <f>G35</f>
        <v>0</v>
      </c>
      <c r="U35" s="3634"/>
      <c r="V35" s="3634">
        <f>I35</f>
        <v>0</v>
      </c>
      <c r="W35" s="3634"/>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33" t="str">
        <f>A36</f>
        <v>比较价值（元/平方米）</v>
      </c>
      <c r="Q36" s="3633"/>
      <c r="R36" s="3634" t="e">
        <f>IF(F1="售价",ROUND(PRODUCT(R35,AA7:AA34),0),ROUND(PRODUCT(R35,AA7:AA34),1))</f>
        <v>#DIV/0!</v>
      </c>
      <c r="S36" s="3634"/>
      <c r="T36" s="3634" t="e">
        <f>IF(F1="售价",ROUND(PRODUCT(T35,AB7:AB34),0),ROUND(PRODUCT(T35,AB7:AB34),1))</f>
        <v>#DIV/0!</v>
      </c>
      <c r="U36" s="3634"/>
      <c r="V36" s="3634" t="e">
        <f>IF(F1="售价",ROUND(PRODUCT(V35,AC7:AC34),0),ROUND(PRODUCT(V35,AC7:AC34),1))</f>
        <v>#DIV/0!</v>
      </c>
      <c r="W36" s="3634"/>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35" t="str">
        <f>A37</f>
        <v>估价对象XX用房的比较价值（楼面单价，元/平方米）</v>
      </c>
      <c r="Q37" s="3636"/>
      <c r="R37" s="3746" t="e">
        <f>IF(F1="售价",ROUND(IF(D36="简单平均",AVERAGE(R36:W36),R36*F36+T36*H36+V36*J36),0),ROUND(IF(D36="简单平均",AVERAGE(R36:V36),R36*F36+T36*H36+V36*J36),1))</f>
        <v>#DIV/0!</v>
      </c>
      <c r="S37" s="3746"/>
      <c r="T37" s="3746"/>
      <c r="U37" s="3746"/>
      <c r="V37" s="3746"/>
      <c r="W37" s="3746"/>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62" t="s">
        <v>1754</v>
      </c>
      <c r="S4" s="3663"/>
      <c r="T4" s="3662" t="s">
        <v>1755</v>
      </c>
      <c r="U4" s="3663"/>
      <c r="V4" s="3647" t="s">
        <v>1756</v>
      </c>
      <c r="W4" s="3647"/>
      <c r="X4" s="1355"/>
      <c r="Y4" s="3662" t="s">
        <v>1758</v>
      </c>
      <c r="Z4" s="3663"/>
      <c r="AA4" s="3649" t="s">
        <v>1754</v>
      </c>
      <c r="AB4" s="3650" t="s">
        <v>1755</v>
      </c>
      <c r="AC4" s="3649" t="s">
        <v>1756</v>
      </c>
    </row>
    <row r="5" spans="1:30" ht="15">
      <c r="A5" s="358"/>
      <c r="B5" s="359"/>
      <c r="C5" s="3670" t="s">
        <v>1656</v>
      </c>
      <c r="D5" s="3671"/>
      <c r="E5" s="3678" t="s">
        <v>1657</v>
      </c>
      <c r="F5" s="3679"/>
      <c r="G5" s="3670" t="s">
        <v>1658</v>
      </c>
      <c r="H5" s="3671"/>
      <c r="I5" s="3670" t="s">
        <v>1659</v>
      </c>
      <c r="J5" s="3671"/>
      <c r="K5" s="559"/>
      <c r="L5" s="2690"/>
      <c r="M5" s="2691"/>
      <c r="N5" s="2691"/>
      <c r="O5" s="2691"/>
      <c r="P5" s="3658"/>
      <c r="Q5" s="3659"/>
      <c r="R5" s="3664"/>
      <c r="S5" s="3665"/>
      <c r="T5" s="3664"/>
      <c r="U5" s="3665"/>
      <c r="V5" s="3647"/>
      <c r="W5" s="3647"/>
      <c r="X5" s="1355"/>
      <c r="Y5" s="3664"/>
      <c r="Z5" s="3665"/>
      <c r="AA5" s="3650"/>
      <c r="AB5" s="3650"/>
      <c r="AC5" s="3650"/>
    </row>
    <row r="6" spans="1:30" ht="15.75" thickBot="1">
      <c r="A6" s="360"/>
      <c r="B6" s="361"/>
      <c r="C6" s="3709" t="s">
        <v>1660</v>
      </c>
      <c r="D6" s="3669"/>
      <c r="E6" s="3710" t="s">
        <v>1660</v>
      </c>
      <c r="F6" s="3677"/>
      <c r="G6" s="3709" t="s">
        <v>1660</v>
      </c>
      <c r="H6" s="3669"/>
      <c r="I6" s="3709" t="s">
        <v>1660</v>
      </c>
      <c r="J6" s="3669"/>
      <c r="K6" s="559" t="s">
        <v>1661</v>
      </c>
      <c r="L6" s="2690"/>
      <c r="M6" s="2691"/>
      <c r="N6" s="2691"/>
      <c r="O6" s="2691"/>
      <c r="P6" s="3660"/>
      <c r="Q6" s="3661"/>
      <c r="R6" s="3664"/>
      <c r="S6" s="3665"/>
      <c r="T6" s="3666"/>
      <c r="U6" s="3667"/>
      <c r="V6" s="3647"/>
      <c r="W6" s="3647"/>
      <c r="X6" s="1355"/>
      <c r="Y6" s="3666"/>
      <c r="Z6" s="3667"/>
      <c r="AA6" s="3651"/>
      <c r="AB6" s="3651"/>
      <c r="AC6" s="3651"/>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72" t="s">
        <v>1663</v>
      </c>
      <c r="Q7" s="3674"/>
      <c r="R7" s="701" t="s">
        <v>14</v>
      </c>
      <c r="S7" s="702">
        <f t="shared" ref="S7:S15" si="0">F7</f>
        <v>0</v>
      </c>
      <c r="T7" s="701" t="s">
        <v>14</v>
      </c>
      <c r="U7" s="702">
        <f t="shared" ref="U7:U15" si="1">H7</f>
        <v>0</v>
      </c>
      <c r="V7" s="701" t="s">
        <v>14</v>
      </c>
      <c r="W7" s="702">
        <f t="shared" ref="W7:W15" si="2">J7</f>
        <v>0</v>
      </c>
      <c r="X7" s="703"/>
      <c r="Y7" s="3672" t="s">
        <v>1663</v>
      </c>
      <c r="Z7" s="3673"/>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72" t="s">
        <v>1666</v>
      </c>
      <c r="Q8" s="3673"/>
      <c r="R8" s="701" t="s">
        <v>14</v>
      </c>
      <c r="S8" s="702">
        <f t="shared" si="0"/>
        <v>0</v>
      </c>
      <c r="T8" s="701" t="s">
        <v>14</v>
      </c>
      <c r="U8" s="702">
        <f t="shared" si="1"/>
        <v>0</v>
      </c>
      <c r="V8" s="701" t="s">
        <v>14</v>
      </c>
      <c r="W8" s="702">
        <f t="shared" si="2"/>
        <v>0</v>
      </c>
      <c r="X8" s="703"/>
      <c r="Y8" s="3672" t="s">
        <v>1666</v>
      </c>
      <c r="Z8" s="3673"/>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33"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33"/>
      <c r="Q10" s="1343" t="str">
        <f t="shared" si="6"/>
        <v>土地使用年限（年）</v>
      </c>
      <c r="R10" s="701" t="s">
        <v>14</v>
      </c>
      <c r="S10" s="702">
        <f t="shared" si="0"/>
        <v>104</v>
      </c>
      <c r="T10" s="701" t="s">
        <v>14</v>
      </c>
      <c r="U10" s="702">
        <f t="shared" si="1"/>
        <v>104</v>
      </c>
      <c r="V10" s="701" t="s">
        <v>14</v>
      </c>
      <c r="W10" s="702">
        <f t="shared" si="2"/>
        <v>104</v>
      </c>
      <c r="X10" s="703"/>
      <c r="Y10" s="3542"/>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33"/>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33"/>
      <c r="Q12" s="1343" t="str">
        <f t="shared" si="6"/>
        <v>配建</v>
      </c>
      <c r="R12" s="701" t="s">
        <v>14</v>
      </c>
      <c r="S12" s="702">
        <f t="shared" si="0"/>
        <v>100</v>
      </c>
      <c r="T12" s="701" t="s">
        <v>14</v>
      </c>
      <c r="U12" s="702">
        <f t="shared" si="1"/>
        <v>100</v>
      </c>
      <c r="V12" s="701" t="s">
        <v>14</v>
      </c>
      <c r="W12" s="702">
        <f t="shared" si="2"/>
        <v>100</v>
      </c>
      <c r="X12" s="703"/>
      <c r="Y12" s="354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33"/>
      <c r="Q13" s="1343">
        <f t="shared" si="6"/>
        <v>111</v>
      </c>
      <c r="R13" s="701" t="s">
        <v>14</v>
      </c>
      <c r="S13" s="702">
        <f t="shared" si="0"/>
        <v>100</v>
      </c>
      <c r="T13" s="701" t="s">
        <v>14</v>
      </c>
      <c r="U13" s="702">
        <f t="shared" si="1"/>
        <v>100</v>
      </c>
      <c r="V13" s="701" t="s">
        <v>14</v>
      </c>
      <c r="W13" s="702">
        <f t="shared" si="2"/>
        <v>100</v>
      </c>
      <c r="X13" s="703"/>
      <c r="Y13" s="354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33"/>
      <c r="Q14" s="1343">
        <f t="shared" si="6"/>
        <v>111</v>
      </c>
      <c r="R14" s="701" t="s">
        <v>14</v>
      </c>
      <c r="S14" s="702">
        <f t="shared" si="0"/>
        <v>100</v>
      </c>
      <c r="T14" s="701" t="s">
        <v>14</v>
      </c>
      <c r="U14" s="702">
        <f t="shared" si="1"/>
        <v>100</v>
      </c>
      <c r="V14" s="701" t="s">
        <v>14</v>
      </c>
      <c r="W14" s="702">
        <f t="shared" si="2"/>
        <v>100</v>
      </c>
      <c r="X14" s="703"/>
      <c r="Y14" s="3542"/>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40" t="s">
        <v>1674</v>
      </c>
      <c r="Q15" s="1352" t="str">
        <f t="shared" si="6"/>
        <v>居住社区成熟度</v>
      </c>
      <c r="R15" s="705" t="s">
        <v>14</v>
      </c>
      <c r="S15" s="706">
        <f t="shared" si="0"/>
        <v>100</v>
      </c>
      <c r="T15" s="705" t="s">
        <v>14</v>
      </c>
      <c r="U15" s="706">
        <f t="shared" si="1"/>
        <v>100</v>
      </c>
      <c r="V15" s="705" t="s">
        <v>14</v>
      </c>
      <c r="W15" s="706">
        <f t="shared" si="2"/>
        <v>100</v>
      </c>
      <c r="X15" s="1355"/>
      <c r="Y15" s="3640"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41"/>
      <c r="Q16" s="1352"/>
      <c r="R16" s="705"/>
      <c r="S16" s="706"/>
      <c r="T16" s="705"/>
      <c r="U16" s="706"/>
      <c r="V16" s="705"/>
      <c r="W16" s="706"/>
      <c r="X16" s="1355"/>
      <c r="Y16" s="3641"/>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41"/>
      <c r="Q17" s="1352" t="str">
        <f>B17</f>
        <v>商业繁华度</v>
      </c>
      <c r="R17" s="705" t="s">
        <v>14</v>
      </c>
      <c r="S17" s="706">
        <f>F17</f>
        <v>100</v>
      </c>
      <c r="T17" s="705" t="s">
        <v>14</v>
      </c>
      <c r="U17" s="706">
        <f>H17</f>
        <v>100</v>
      </c>
      <c r="V17" s="705" t="s">
        <v>14</v>
      </c>
      <c r="W17" s="706">
        <f>J17</f>
        <v>100</v>
      </c>
      <c r="X17" s="1355"/>
      <c r="Y17" s="364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41"/>
      <c r="Q18" s="1352"/>
      <c r="R18" s="705"/>
      <c r="S18" s="706"/>
      <c r="T18" s="705"/>
      <c r="U18" s="706"/>
      <c r="V18" s="705"/>
      <c r="W18" s="706"/>
      <c r="X18" s="1355"/>
      <c r="Y18" s="3641"/>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41"/>
      <c r="Q19" s="1352" t="str">
        <f>B19</f>
        <v>办公集聚程度</v>
      </c>
      <c r="R19" s="705" t="s">
        <v>14</v>
      </c>
      <c r="S19" s="706">
        <f>F19</f>
        <v>100</v>
      </c>
      <c r="T19" s="705" t="s">
        <v>14</v>
      </c>
      <c r="U19" s="706">
        <f>H19</f>
        <v>100</v>
      </c>
      <c r="V19" s="705" t="s">
        <v>14</v>
      </c>
      <c r="W19" s="706">
        <f>J19</f>
        <v>100</v>
      </c>
      <c r="X19" s="1355"/>
      <c r="Y19" s="364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41"/>
      <c r="Q20" s="1352"/>
      <c r="R20" s="705"/>
      <c r="S20" s="706"/>
      <c r="T20" s="705"/>
      <c r="U20" s="706"/>
      <c r="V20" s="705"/>
      <c r="W20" s="706"/>
      <c r="X20" s="1355"/>
      <c r="Y20" s="3641"/>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41"/>
      <c r="Q21" s="1352" t="str">
        <f>B21</f>
        <v>交通便捷度</v>
      </c>
      <c r="R21" s="705" t="s">
        <v>14</v>
      </c>
      <c r="S21" s="706">
        <f>F21</f>
        <v>100</v>
      </c>
      <c r="T21" s="705" t="s">
        <v>14</v>
      </c>
      <c r="U21" s="706">
        <f>H21</f>
        <v>100</v>
      </c>
      <c r="V21" s="705" t="s">
        <v>14</v>
      </c>
      <c r="W21" s="706">
        <f>J21</f>
        <v>100</v>
      </c>
      <c r="X21" s="1355"/>
      <c r="Y21" s="364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41"/>
      <c r="Q22" s="1352"/>
      <c r="R22" s="705"/>
      <c r="S22" s="706"/>
      <c r="T22" s="705"/>
      <c r="U22" s="706"/>
      <c r="V22" s="705"/>
      <c r="W22" s="706"/>
      <c r="X22" s="1355"/>
      <c r="Y22" s="3641"/>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41"/>
      <c r="Q23" s="1352" t="str">
        <f t="shared" ref="Q23:Q37" si="8">B23</f>
        <v>区域土地利用方向</v>
      </c>
      <c r="R23" s="705" t="s">
        <v>14</v>
      </c>
      <c r="S23" s="706">
        <f>F23</f>
        <v>100</v>
      </c>
      <c r="T23" s="705" t="s">
        <v>14</v>
      </c>
      <c r="U23" s="706">
        <f>H23</f>
        <v>100</v>
      </c>
      <c r="V23" s="705" t="s">
        <v>14</v>
      </c>
      <c r="W23" s="706">
        <f>J23</f>
        <v>100</v>
      </c>
      <c r="X23" s="1355"/>
      <c r="Y23" s="364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41"/>
      <c r="Q24" s="1352"/>
      <c r="R24" s="705"/>
      <c r="S24" s="706"/>
      <c r="T24" s="705"/>
      <c r="U24" s="706"/>
      <c r="V24" s="705"/>
      <c r="W24" s="706"/>
      <c r="X24" s="1355"/>
      <c r="Y24" s="3641"/>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41"/>
      <c r="Q25" s="1352" t="str">
        <f t="shared" si="8"/>
        <v>自然及人文环境状况</v>
      </c>
      <c r="R25" s="705" t="s">
        <v>14</v>
      </c>
      <c r="S25" s="706">
        <f>F25</f>
        <v>100</v>
      </c>
      <c r="T25" s="705" t="s">
        <v>14</v>
      </c>
      <c r="U25" s="706">
        <f>H25</f>
        <v>100</v>
      </c>
      <c r="V25" s="705" t="s">
        <v>14</v>
      </c>
      <c r="W25" s="706">
        <f>J25</f>
        <v>100</v>
      </c>
      <c r="X25" s="1355"/>
      <c r="Y25" s="364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41"/>
      <c r="Q26" s="1352"/>
      <c r="R26" s="705"/>
      <c r="S26" s="706"/>
      <c r="T26" s="705"/>
      <c r="U26" s="706"/>
      <c r="V26" s="705"/>
      <c r="W26" s="706"/>
      <c r="X26" s="1355"/>
      <c r="Y26" s="3641"/>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41"/>
      <c r="Q27" s="1343" t="str">
        <f t="shared" si="8"/>
        <v>公共配套设施</v>
      </c>
      <c r="R27" s="701" t="s">
        <v>14</v>
      </c>
      <c r="S27" s="702">
        <f>F27</f>
        <v>100</v>
      </c>
      <c r="T27" s="701" t="s">
        <v>14</v>
      </c>
      <c r="U27" s="702">
        <f>H27</f>
        <v>100</v>
      </c>
      <c r="V27" s="701" t="s">
        <v>14</v>
      </c>
      <c r="W27" s="702">
        <f>J27</f>
        <v>100</v>
      </c>
      <c r="X27" s="703"/>
      <c r="Y27" s="364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41"/>
      <c r="Q28" s="1343"/>
      <c r="R28" s="701"/>
      <c r="S28" s="702"/>
      <c r="T28" s="701"/>
      <c r="U28" s="702"/>
      <c r="V28" s="701"/>
      <c r="W28" s="702"/>
      <c r="X28" s="703"/>
      <c r="Y28" s="3641"/>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41"/>
      <c r="Q29" s="1343" t="str">
        <f t="shared" ref="Q29" si="9">B29</f>
        <v>基础设施水平</v>
      </c>
      <c r="R29" s="701" t="s">
        <v>14</v>
      </c>
      <c r="S29" s="702">
        <f>F29</f>
        <v>100</v>
      </c>
      <c r="T29" s="701" t="s">
        <v>14</v>
      </c>
      <c r="U29" s="702">
        <f>H29</f>
        <v>100</v>
      </c>
      <c r="V29" s="701" t="s">
        <v>14</v>
      </c>
      <c r="W29" s="702">
        <f>J29</f>
        <v>100</v>
      </c>
      <c r="X29" s="703"/>
      <c r="Y29" s="364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41"/>
      <c r="Q30" s="1343"/>
      <c r="R30" s="701"/>
      <c r="S30" s="702"/>
      <c r="T30" s="701"/>
      <c r="U30" s="702"/>
      <c r="V30" s="701"/>
      <c r="W30" s="702"/>
      <c r="X30" s="703"/>
      <c r="Y30" s="3641"/>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4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41"/>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41"/>
      <c r="Q32" s="1352" t="str">
        <f t="shared" si="8"/>
        <v>毗邻道路的类型与等级</v>
      </c>
      <c r="R32" s="705" t="s">
        <v>14</v>
      </c>
      <c r="S32" s="706">
        <f t="shared" si="10"/>
        <v>100</v>
      </c>
      <c r="T32" s="705" t="s">
        <v>14</v>
      </c>
      <c r="U32" s="706">
        <f t="shared" si="11"/>
        <v>100</v>
      </c>
      <c r="V32" s="705" t="s">
        <v>14</v>
      </c>
      <c r="W32" s="706">
        <f t="shared" si="12"/>
        <v>100</v>
      </c>
      <c r="X32" s="1355"/>
      <c r="Y32" s="364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41"/>
      <c r="Q33" s="1352"/>
      <c r="R33" s="705"/>
      <c r="S33" s="706"/>
      <c r="T33" s="705"/>
      <c r="U33" s="706"/>
      <c r="V33" s="705"/>
      <c r="W33" s="706"/>
      <c r="X33" s="1355"/>
      <c r="Y33" s="3641"/>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41"/>
      <c r="Q34" s="1352" t="str">
        <f t="shared" si="8"/>
        <v>土地级别</v>
      </c>
      <c r="R34" s="705" t="s">
        <v>14</v>
      </c>
      <c r="S34" s="706">
        <f t="shared" si="10"/>
        <v>100</v>
      </c>
      <c r="T34" s="705" t="s">
        <v>14</v>
      </c>
      <c r="U34" s="706">
        <f t="shared" si="11"/>
        <v>100</v>
      </c>
      <c r="V34" s="705" t="s">
        <v>14</v>
      </c>
      <c r="W34" s="706">
        <f t="shared" si="12"/>
        <v>100</v>
      </c>
      <c r="X34" s="1355"/>
      <c r="Y34" s="364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41"/>
      <c r="Q35" s="1352">
        <f t="shared" si="8"/>
        <v>111</v>
      </c>
      <c r="R35" s="705" t="s">
        <v>14</v>
      </c>
      <c r="S35" s="706">
        <f t="shared" si="10"/>
        <v>100</v>
      </c>
      <c r="T35" s="705" t="s">
        <v>14</v>
      </c>
      <c r="U35" s="706">
        <f t="shared" si="11"/>
        <v>100</v>
      </c>
      <c r="V35" s="705" t="s">
        <v>14</v>
      </c>
      <c r="W35" s="706">
        <f t="shared" si="12"/>
        <v>100</v>
      </c>
      <c r="X35" s="1355"/>
      <c r="Y35" s="364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45" t="s">
        <v>1679</v>
      </c>
      <c r="Q36" s="1352">
        <f t="shared" si="8"/>
        <v>111</v>
      </c>
      <c r="R36" s="705" t="s">
        <v>14</v>
      </c>
      <c r="S36" s="706">
        <f t="shared" si="10"/>
        <v>100</v>
      </c>
      <c r="T36" s="705" t="s">
        <v>14</v>
      </c>
      <c r="U36" s="706">
        <f t="shared" si="11"/>
        <v>100</v>
      </c>
      <c r="V36" s="705" t="s">
        <v>14</v>
      </c>
      <c r="W36" s="706">
        <f t="shared" si="12"/>
        <v>100</v>
      </c>
      <c r="X36" s="1355"/>
      <c r="Y36" s="3645"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45"/>
      <c r="Q37" s="1352">
        <f t="shared" si="8"/>
        <v>111</v>
      </c>
      <c r="R37" s="708" t="s">
        <v>14</v>
      </c>
      <c r="S37" s="709">
        <f t="shared" si="10"/>
        <v>100</v>
      </c>
      <c r="T37" s="708" t="s">
        <v>14</v>
      </c>
      <c r="U37" s="709">
        <f t="shared" si="11"/>
        <v>100</v>
      </c>
      <c r="V37" s="708" t="s">
        <v>14</v>
      </c>
      <c r="W37" s="709">
        <f t="shared" si="12"/>
        <v>100</v>
      </c>
      <c r="X37" s="710"/>
      <c r="Y37" s="3645"/>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45"/>
      <c r="Q38" s="1352" t="str">
        <f>B38</f>
        <v>宗地面积</v>
      </c>
      <c r="R38" s="705" t="s">
        <v>14</v>
      </c>
      <c r="S38" s="706" t="e">
        <f t="shared" si="10"/>
        <v>#N/A</v>
      </c>
      <c r="T38" s="705" t="s">
        <v>14</v>
      </c>
      <c r="U38" s="706" t="e">
        <f t="shared" si="11"/>
        <v>#N/A</v>
      </c>
      <c r="V38" s="705" t="s">
        <v>14</v>
      </c>
      <c r="W38" s="706" t="e">
        <f t="shared" si="12"/>
        <v>#N/A</v>
      </c>
      <c r="X38" s="1355"/>
      <c r="Y38" s="3645"/>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45"/>
      <c r="Q39" s="1352" t="str">
        <f t="shared" ref="Q39:Q45" si="14">B39</f>
        <v>宗地形状</v>
      </c>
      <c r="R39" s="705" t="s">
        <v>14</v>
      </c>
      <c r="S39" s="706">
        <f t="shared" si="10"/>
        <v>100</v>
      </c>
      <c r="T39" s="705" t="s">
        <v>14</v>
      </c>
      <c r="U39" s="706">
        <f t="shared" si="11"/>
        <v>100</v>
      </c>
      <c r="V39" s="705" t="s">
        <v>14</v>
      </c>
      <c r="W39" s="706">
        <f t="shared" si="12"/>
        <v>100</v>
      </c>
      <c r="X39" s="1355"/>
      <c r="Y39" s="3645"/>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45"/>
      <c r="Q40" s="1352" t="str">
        <f t="shared" si="14"/>
        <v>临街宽度及深度</v>
      </c>
      <c r="R40" s="705" t="s">
        <v>14</v>
      </c>
      <c r="S40" s="706">
        <f t="shared" si="10"/>
        <v>100</v>
      </c>
      <c r="T40" s="705" t="s">
        <v>14</v>
      </c>
      <c r="U40" s="706">
        <f t="shared" si="11"/>
        <v>100</v>
      </c>
      <c r="V40" s="705" t="s">
        <v>14</v>
      </c>
      <c r="W40" s="706">
        <f t="shared" si="12"/>
        <v>100</v>
      </c>
      <c r="X40" s="1355"/>
      <c r="Y40" s="3645"/>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45"/>
      <c r="Q41" s="1352" t="str">
        <f t="shared" si="14"/>
        <v>宗地开发程度</v>
      </c>
      <c r="R41" s="701" t="s">
        <v>14</v>
      </c>
      <c r="S41" s="702">
        <f t="shared" si="10"/>
        <v>100</v>
      </c>
      <c r="T41" s="701" t="s">
        <v>14</v>
      </c>
      <c r="U41" s="702">
        <f t="shared" si="11"/>
        <v>100</v>
      </c>
      <c r="V41" s="701" t="s">
        <v>14</v>
      </c>
      <c r="W41" s="702">
        <f t="shared" si="12"/>
        <v>100</v>
      </c>
      <c r="X41" s="703"/>
      <c r="Y41" s="3645"/>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45" t="s">
        <v>1679</v>
      </c>
      <c r="Q42" s="1352" t="str">
        <f t="shared" si="14"/>
        <v>工程地质条件</v>
      </c>
      <c r="R42" s="705" t="s">
        <v>14</v>
      </c>
      <c r="S42" s="706">
        <f t="shared" si="10"/>
        <v>100</v>
      </c>
      <c r="T42" s="705" t="s">
        <v>14</v>
      </c>
      <c r="U42" s="706">
        <f t="shared" si="11"/>
        <v>100</v>
      </c>
      <c r="V42" s="705" t="s">
        <v>14</v>
      </c>
      <c r="W42" s="706">
        <f t="shared" si="12"/>
        <v>100</v>
      </c>
      <c r="X42" s="1355"/>
      <c r="Y42" s="3645"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45"/>
      <c r="Q43" s="1352">
        <f t="shared" si="14"/>
        <v>111</v>
      </c>
      <c r="R43" s="705" t="s">
        <v>14</v>
      </c>
      <c r="S43" s="706">
        <f t="shared" si="10"/>
        <v>100</v>
      </c>
      <c r="T43" s="705" t="s">
        <v>14</v>
      </c>
      <c r="U43" s="706">
        <f t="shared" si="11"/>
        <v>100</v>
      </c>
      <c r="V43" s="705" t="s">
        <v>14</v>
      </c>
      <c r="W43" s="706">
        <f t="shared" si="12"/>
        <v>100</v>
      </c>
      <c r="X43" s="1355"/>
      <c r="Y43" s="364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45"/>
      <c r="Q44" s="1352">
        <f t="shared" si="14"/>
        <v>111</v>
      </c>
      <c r="R44" s="705" t="s">
        <v>14</v>
      </c>
      <c r="S44" s="706">
        <f t="shared" si="10"/>
        <v>100</v>
      </c>
      <c r="T44" s="705" t="s">
        <v>14</v>
      </c>
      <c r="U44" s="706">
        <f t="shared" si="11"/>
        <v>100</v>
      </c>
      <c r="V44" s="705" t="s">
        <v>14</v>
      </c>
      <c r="W44" s="706">
        <f t="shared" si="12"/>
        <v>100</v>
      </c>
      <c r="X44" s="1355"/>
      <c r="Y44" s="364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45"/>
      <c r="Q45" s="1352">
        <f t="shared" si="14"/>
        <v>111</v>
      </c>
      <c r="R45" s="708" t="s">
        <v>14</v>
      </c>
      <c r="S45" s="709">
        <f t="shared" si="10"/>
        <v>100</v>
      </c>
      <c r="T45" s="708" t="s">
        <v>14</v>
      </c>
      <c r="U45" s="709">
        <f t="shared" si="11"/>
        <v>100</v>
      </c>
      <c r="V45" s="708" t="s">
        <v>14</v>
      </c>
      <c r="W45" s="709">
        <f t="shared" si="12"/>
        <v>100</v>
      </c>
      <c r="X45" s="710"/>
      <c r="Y45" s="3645"/>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33" t="str">
        <f>A46</f>
        <v>成交单价</v>
      </c>
      <c r="Q46" s="3633"/>
      <c r="R46" s="3647">
        <f>E46</f>
        <v>0</v>
      </c>
      <c r="S46" s="3647"/>
      <c r="T46" s="3647">
        <f>G46</f>
        <v>0</v>
      </c>
      <c r="U46" s="3647"/>
      <c r="V46" s="3647">
        <f>I46</f>
        <v>0</v>
      </c>
      <c r="W46" s="3647"/>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33" t="str">
        <f>A47</f>
        <v>比较价值（元/平方米）</v>
      </c>
      <c r="Q47" s="3633"/>
      <c r="R47" s="3747" t="e">
        <f>ROUND(PRODUCT(R46,AA7:AA45),0)</f>
        <v>#DIV/0!</v>
      </c>
      <c r="S47" s="3747"/>
      <c r="T47" s="3747" t="e">
        <f>ROUND(PRODUCT(T46,AB7:AB45),0)</f>
        <v>#DIV/0!</v>
      </c>
      <c r="U47" s="3747"/>
      <c r="V47" s="3747" t="e">
        <f>ROUND(PRODUCT(V46,AC7:AC45),0)</f>
        <v>#DIV/0!</v>
      </c>
      <c r="W47" s="3747"/>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35" t="str">
        <f>A48</f>
        <v>估价对象XX用房的比较价值（楼面单价，元/平方米）</v>
      </c>
      <c r="Q48" s="3636"/>
      <c r="R48" s="3748" t="e">
        <f>ROUND(IF(D47="简单平均",AVERAGE(R47:W47),R47*F47+T47*H47+V47*J47),0)</f>
        <v>#DIV/0!</v>
      </c>
      <c r="S48" s="3748"/>
      <c r="T48" s="3748"/>
      <c r="U48" s="3748"/>
      <c r="V48" s="3748"/>
      <c r="W48" s="3748"/>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52" t="s">
        <v>1870</v>
      </c>
      <c r="H55" s="3749"/>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1123.97</v>
      </c>
      <c r="F56" s="886" t="e">
        <f t="shared" ref="F56:F64" si="15">ROUND(B56*E56/10000,0)</f>
        <v>#DIV/0!</v>
      </c>
      <c r="G56" s="3648"/>
      <c r="H56" s="3633"/>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1123.97</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52" t="s">
        <v>1753</v>
      </c>
      <c r="D4" s="3653"/>
      <c r="E4" s="3654" t="s">
        <v>1754</v>
      </c>
      <c r="F4" s="3655"/>
      <c r="G4" s="3652" t="s">
        <v>1755</v>
      </c>
      <c r="H4" s="3653"/>
      <c r="I4" s="3652" t="s">
        <v>1756</v>
      </c>
      <c r="J4" s="3653"/>
      <c r="K4" s="559" t="s">
        <v>1757</v>
      </c>
      <c r="L4" s="2690"/>
      <c r="M4" s="2691"/>
      <c r="N4" s="2691"/>
      <c r="O4" s="2691"/>
      <c r="P4" s="3656" t="s">
        <v>1758</v>
      </c>
      <c r="Q4" s="3657"/>
      <c r="R4" s="3662" t="s">
        <v>1754</v>
      </c>
      <c r="S4" s="3663"/>
      <c r="T4" s="3662" t="s">
        <v>1755</v>
      </c>
      <c r="U4" s="3663"/>
      <c r="V4" s="3647" t="s">
        <v>1756</v>
      </c>
      <c r="W4" s="3647"/>
      <c r="X4" s="1355"/>
      <c r="Y4" s="3662" t="s">
        <v>1758</v>
      </c>
      <c r="Z4" s="3663"/>
      <c r="AA4" s="3649" t="s">
        <v>1754</v>
      </c>
      <c r="AB4" s="3650" t="s">
        <v>1755</v>
      </c>
      <c r="AC4" s="3649" t="s">
        <v>1756</v>
      </c>
    </row>
    <row r="5" spans="1:29" ht="15">
      <c r="A5" s="358"/>
      <c r="B5" s="359"/>
      <c r="C5" s="3670" t="s">
        <v>1656</v>
      </c>
      <c r="D5" s="3671"/>
      <c r="E5" s="3678" t="s">
        <v>1657</v>
      </c>
      <c r="F5" s="3679"/>
      <c r="G5" s="3670" t="s">
        <v>1658</v>
      </c>
      <c r="H5" s="3671"/>
      <c r="I5" s="3670" t="s">
        <v>1659</v>
      </c>
      <c r="J5" s="3671"/>
      <c r="K5" s="559"/>
      <c r="L5" s="2690"/>
      <c r="M5" s="2691"/>
      <c r="N5" s="2691"/>
      <c r="O5" s="2691"/>
      <c r="P5" s="3658"/>
      <c r="Q5" s="3659"/>
      <c r="R5" s="3664"/>
      <c r="S5" s="3665"/>
      <c r="T5" s="3664"/>
      <c r="U5" s="3665"/>
      <c r="V5" s="3647"/>
      <c r="W5" s="3647"/>
      <c r="X5" s="1355"/>
      <c r="Y5" s="3664"/>
      <c r="Z5" s="3665"/>
      <c r="AA5" s="3650"/>
      <c r="AB5" s="3650"/>
      <c r="AC5" s="3650"/>
    </row>
    <row r="6" spans="1:29" ht="15.75" thickBot="1">
      <c r="A6" s="360"/>
      <c r="B6" s="361"/>
      <c r="C6" s="3750" t="s">
        <v>1902</v>
      </c>
      <c r="D6" s="3751"/>
      <c r="E6" s="3752" t="s">
        <v>1902</v>
      </c>
      <c r="F6" s="3753"/>
      <c r="G6" s="3750" t="s">
        <v>1902</v>
      </c>
      <c r="H6" s="3751"/>
      <c r="I6" s="3750" t="s">
        <v>1902</v>
      </c>
      <c r="J6" s="3751"/>
      <c r="K6" s="559" t="s">
        <v>1661</v>
      </c>
      <c r="L6" s="2690"/>
      <c r="M6" s="2691"/>
      <c r="N6" s="2691"/>
      <c r="O6" s="2691"/>
      <c r="P6" s="3660"/>
      <c r="Q6" s="3661"/>
      <c r="R6" s="3664"/>
      <c r="S6" s="3665"/>
      <c r="T6" s="3666"/>
      <c r="U6" s="3667"/>
      <c r="V6" s="3647"/>
      <c r="W6" s="3647"/>
      <c r="X6" s="1355"/>
      <c r="Y6" s="3666"/>
      <c r="Z6" s="3667"/>
      <c r="AA6" s="3651"/>
      <c r="AB6" s="3651"/>
      <c r="AC6" s="3651"/>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72" t="s">
        <v>1663</v>
      </c>
      <c r="Q7" s="3674"/>
      <c r="R7" s="701" t="s">
        <v>14</v>
      </c>
      <c r="S7" s="702">
        <f t="shared" ref="S7:S15" si="0">F7</f>
        <v>0</v>
      </c>
      <c r="T7" s="701" t="s">
        <v>14</v>
      </c>
      <c r="U7" s="702">
        <f t="shared" ref="U7:U15" si="1">H7</f>
        <v>0</v>
      </c>
      <c r="V7" s="701" t="s">
        <v>14</v>
      </c>
      <c r="W7" s="702">
        <f t="shared" ref="W7:W15" si="2">J7</f>
        <v>0</v>
      </c>
      <c r="X7" s="703"/>
      <c r="Y7" s="3672" t="s">
        <v>1663</v>
      </c>
      <c r="Z7" s="3673"/>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72" t="s">
        <v>1666</v>
      </c>
      <c r="Q8" s="3673"/>
      <c r="R8" s="701" t="s">
        <v>14</v>
      </c>
      <c r="S8" s="702">
        <f t="shared" si="0"/>
        <v>0</v>
      </c>
      <c r="T8" s="701" t="s">
        <v>14</v>
      </c>
      <c r="U8" s="702">
        <f t="shared" si="1"/>
        <v>0</v>
      </c>
      <c r="V8" s="701" t="s">
        <v>14</v>
      </c>
      <c r="W8" s="702">
        <f t="shared" si="2"/>
        <v>0</v>
      </c>
      <c r="X8" s="703"/>
      <c r="Y8" s="3672" t="s">
        <v>1666</v>
      </c>
      <c r="Z8" s="3673"/>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33" t="s">
        <v>1669</v>
      </c>
      <c r="Q9" s="1343" t="str">
        <f t="shared" ref="Q9:Q15" si="6">B9</f>
        <v>用途</v>
      </c>
      <c r="R9" s="701" t="s">
        <v>14</v>
      </c>
      <c r="S9" s="702">
        <f t="shared" si="0"/>
        <v>100</v>
      </c>
      <c r="T9" s="701" t="s">
        <v>14</v>
      </c>
      <c r="U9" s="702">
        <f t="shared" si="1"/>
        <v>100</v>
      </c>
      <c r="V9" s="701" t="s">
        <v>14</v>
      </c>
      <c r="W9" s="702">
        <f t="shared" si="2"/>
        <v>100</v>
      </c>
      <c r="X9" s="703"/>
      <c r="Y9" s="3542"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33"/>
      <c r="Q10" s="1343" t="str">
        <f t="shared" si="6"/>
        <v>土地使用年限（年）</v>
      </c>
      <c r="R10" s="701" t="s">
        <v>14</v>
      </c>
      <c r="S10" s="702">
        <f t="shared" si="0"/>
        <v>104</v>
      </c>
      <c r="T10" s="701" t="s">
        <v>14</v>
      </c>
      <c r="U10" s="702">
        <f t="shared" si="1"/>
        <v>104</v>
      </c>
      <c r="V10" s="701" t="s">
        <v>14</v>
      </c>
      <c r="W10" s="702">
        <f t="shared" si="2"/>
        <v>104</v>
      </c>
      <c r="X10" s="703"/>
      <c r="Y10" s="3542"/>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33"/>
      <c r="Q11" s="1343" t="str">
        <f t="shared" si="6"/>
        <v>容积率</v>
      </c>
      <c r="R11" s="701" t="s">
        <v>14</v>
      </c>
      <c r="S11" s="702" t="e">
        <f t="shared" si="0"/>
        <v>#N/A</v>
      </c>
      <c r="T11" s="701" t="s">
        <v>14</v>
      </c>
      <c r="U11" s="702" t="e">
        <f t="shared" si="1"/>
        <v>#N/A</v>
      </c>
      <c r="V11" s="701" t="s">
        <v>14</v>
      </c>
      <c r="W11" s="702" t="e">
        <f t="shared" si="2"/>
        <v>#N/A</v>
      </c>
      <c r="X11" s="703"/>
      <c r="Y11" s="354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33"/>
      <c r="Q12" s="1343">
        <f t="shared" si="6"/>
        <v>111</v>
      </c>
      <c r="R12" s="701" t="s">
        <v>14</v>
      </c>
      <c r="S12" s="702">
        <f t="shared" si="0"/>
        <v>100</v>
      </c>
      <c r="T12" s="701" t="s">
        <v>14</v>
      </c>
      <c r="U12" s="702">
        <f t="shared" si="1"/>
        <v>100</v>
      </c>
      <c r="V12" s="701" t="s">
        <v>14</v>
      </c>
      <c r="W12" s="702">
        <f t="shared" si="2"/>
        <v>100</v>
      </c>
      <c r="X12" s="703"/>
      <c r="Y12" s="354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33"/>
      <c r="Q13" s="1343">
        <f t="shared" si="6"/>
        <v>111</v>
      </c>
      <c r="R13" s="701" t="s">
        <v>14</v>
      </c>
      <c r="S13" s="702">
        <f t="shared" si="0"/>
        <v>100</v>
      </c>
      <c r="T13" s="701" t="s">
        <v>14</v>
      </c>
      <c r="U13" s="702">
        <f t="shared" si="1"/>
        <v>100</v>
      </c>
      <c r="V13" s="701" t="s">
        <v>14</v>
      </c>
      <c r="W13" s="702">
        <f t="shared" si="2"/>
        <v>100</v>
      </c>
      <c r="X13" s="703"/>
      <c r="Y13" s="354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33"/>
      <c r="Q14" s="1343">
        <f t="shared" si="6"/>
        <v>111</v>
      </c>
      <c r="R14" s="701" t="s">
        <v>14</v>
      </c>
      <c r="S14" s="702">
        <f t="shared" si="0"/>
        <v>100</v>
      </c>
      <c r="T14" s="701" t="s">
        <v>14</v>
      </c>
      <c r="U14" s="702">
        <f t="shared" si="1"/>
        <v>100</v>
      </c>
      <c r="V14" s="701" t="s">
        <v>14</v>
      </c>
      <c r="W14" s="702">
        <f t="shared" si="2"/>
        <v>100</v>
      </c>
      <c r="X14" s="703"/>
      <c r="Y14" s="3542"/>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40" t="s">
        <v>1674</v>
      </c>
      <c r="Q15" s="1352" t="str">
        <f t="shared" si="6"/>
        <v>产业集聚程度</v>
      </c>
      <c r="R15" s="705" t="s">
        <v>14</v>
      </c>
      <c r="S15" s="706">
        <f t="shared" si="0"/>
        <v>100</v>
      </c>
      <c r="T15" s="705" t="s">
        <v>14</v>
      </c>
      <c r="U15" s="706">
        <f t="shared" si="1"/>
        <v>100</v>
      </c>
      <c r="V15" s="705" t="s">
        <v>14</v>
      </c>
      <c r="W15" s="706">
        <f t="shared" si="2"/>
        <v>100</v>
      </c>
      <c r="X15" s="1355"/>
      <c r="Y15" s="3640"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41"/>
      <c r="Q16" s="1352"/>
      <c r="R16" s="705"/>
      <c r="S16" s="706"/>
      <c r="T16" s="705"/>
      <c r="U16" s="706"/>
      <c r="V16" s="705"/>
      <c r="W16" s="706"/>
      <c r="X16" s="1355"/>
      <c r="Y16" s="3641"/>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41"/>
      <c r="Q17" s="1352" t="str">
        <f>B17</f>
        <v>交通便捷度</v>
      </c>
      <c r="R17" s="705" t="s">
        <v>14</v>
      </c>
      <c r="S17" s="706">
        <f>F17</f>
        <v>100</v>
      </c>
      <c r="T17" s="705" t="s">
        <v>14</v>
      </c>
      <c r="U17" s="706">
        <f>H17</f>
        <v>100</v>
      </c>
      <c r="V17" s="705" t="s">
        <v>14</v>
      </c>
      <c r="W17" s="706">
        <f>J17</f>
        <v>100</v>
      </c>
      <c r="X17" s="1355"/>
      <c r="Y17" s="364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41"/>
      <c r="Q18" s="1352"/>
      <c r="R18" s="705"/>
      <c r="S18" s="706"/>
      <c r="T18" s="705"/>
      <c r="U18" s="706"/>
      <c r="V18" s="705"/>
      <c r="W18" s="706"/>
      <c r="X18" s="1355"/>
      <c r="Y18" s="3641"/>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41"/>
      <c r="Q19" s="1352" t="str">
        <f t="shared" ref="Q19:Q33" si="8">B19</f>
        <v>区域土地利用方向</v>
      </c>
      <c r="R19" s="705" t="s">
        <v>14</v>
      </c>
      <c r="S19" s="706">
        <f>F19</f>
        <v>100</v>
      </c>
      <c r="T19" s="705" t="s">
        <v>14</v>
      </c>
      <c r="U19" s="706">
        <f>H19</f>
        <v>100</v>
      </c>
      <c r="V19" s="705" t="s">
        <v>14</v>
      </c>
      <c r="W19" s="706">
        <f>J19</f>
        <v>100</v>
      </c>
      <c r="X19" s="1355"/>
      <c r="Y19" s="364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41"/>
      <c r="Q20" s="1352"/>
      <c r="R20" s="705"/>
      <c r="S20" s="706"/>
      <c r="T20" s="705"/>
      <c r="U20" s="706"/>
      <c r="V20" s="705"/>
      <c r="W20" s="706"/>
      <c r="X20" s="1355"/>
      <c r="Y20" s="3641"/>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41"/>
      <c r="Q21" s="1352" t="str">
        <f t="shared" si="8"/>
        <v>环境状况</v>
      </c>
      <c r="R21" s="705" t="s">
        <v>14</v>
      </c>
      <c r="S21" s="706">
        <f>F21</f>
        <v>100</v>
      </c>
      <c r="T21" s="705" t="s">
        <v>14</v>
      </c>
      <c r="U21" s="706">
        <f>H21</f>
        <v>100</v>
      </c>
      <c r="V21" s="705" t="s">
        <v>14</v>
      </c>
      <c r="W21" s="706">
        <f>J21</f>
        <v>100</v>
      </c>
      <c r="X21" s="1355"/>
      <c r="Y21" s="364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41"/>
      <c r="Q22" s="1352"/>
      <c r="R22" s="705"/>
      <c r="S22" s="706"/>
      <c r="T22" s="705"/>
      <c r="U22" s="706"/>
      <c r="V22" s="705"/>
      <c r="W22" s="706"/>
      <c r="X22" s="1355"/>
      <c r="Y22" s="3641"/>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41"/>
      <c r="Q23" s="1343" t="str">
        <f t="shared" si="8"/>
        <v>公共配套设施</v>
      </c>
      <c r="R23" s="701" t="s">
        <v>14</v>
      </c>
      <c r="S23" s="702">
        <f>F23</f>
        <v>100</v>
      </c>
      <c r="T23" s="701" t="s">
        <v>14</v>
      </c>
      <c r="U23" s="702">
        <f>H23</f>
        <v>100</v>
      </c>
      <c r="V23" s="701" t="s">
        <v>14</v>
      </c>
      <c r="W23" s="702">
        <f>J23</f>
        <v>100</v>
      </c>
      <c r="X23" s="703"/>
      <c r="Y23" s="364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41"/>
      <c r="Q24" s="1343"/>
      <c r="R24" s="701"/>
      <c r="S24" s="702"/>
      <c r="T24" s="701"/>
      <c r="U24" s="702"/>
      <c r="V24" s="701"/>
      <c r="W24" s="702"/>
      <c r="X24" s="703"/>
      <c r="Y24" s="3641"/>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41"/>
      <c r="Q25" s="1343" t="str">
        <f t="shared" ref="Q25" si="9">B25</f>
        <v>基础设施水平</v>
      </c>
      <c r="R25" s="701" t="s">
        <v>14</v>
      </c>
      <c r="S25" s="702">
        <f>F25</f>
        <v>100</v>
      </c>
      <c r="T25" s="701" t="s">
        <v>14</v>
      </c>
      <c r="U25" s="702">
        <f>H25</f>
        <v>100</v>
      </c>
      <c r="V25" s="701" t="s">
        <v>14</v>
      </c>
      <c r="W25" s="702">
        <f>J25</f>
        <v>100</v>
      </c>
      <c r="X25" s="703"/>
      <c r="Y25" s="364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41"/>
      <c r="Q26" s="1343"/>
      <c r="R26" s="701"/>
      <c r="S26" s="702"/>
      <c r="T26" s="701"/>
      <c r="U26" s="702"/>
      <c r="V26" s="701"/>
      <c r="W26" s="702"/>
      <c r="X26" s="703"/>
      <c r="Y26" s="3641"/>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4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41"/>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41"/>
      <c r="Q28" s="1352" t="str">
        <f t="shared" si="8"/>
        <v>毗邻道路的类型与等级</v>
      </c>
      <c r="R28" s="705" t="s">
        <v>14</v>
      </c>
      <c r="S28" s="706">
        <f t="shared" si="10"/>
        <v>100</v>
      </c>
      <c r="T28" s="705" t="s">
        <v>14</v>
      </c>
      <c r="U28" s="706">
        <f t="shared" si="11"/>
        <v>100</v>
      </c>
      <c r="V28" s="705" t="s">
        <v>14</v>
      </c>
      <c r="W28" s="706">
        <f t="shared" si="12"/>
        <v>100</v>
      </c>
      <c r="X28" s="1355"/>
      <c r="Y28" s="364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41"/>
      <c r="Q29" s="1352"/>
      <c r="R29" s="705"/>
      <c r="S29" s="706"/>
      <c r="T29" s="705"/>
      <c r="U29" s="706"/>
      <c r="V29" s="705"/>
      <c r="W29" s="706"/>
      <c r="X29" s="1355"/>
      <c r="Y29" s="3641"/>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41"/>
      <c r="Q30" s="1352" t="str">
        <f t="shared" si="8"/>
        <v>土地级别</v>
      </c>
      <c r="R30" s="705" t="s">
        <v>14</v>
      </c>
      <c r="S30" s="706">
        <f t="shared" si="10"/>
        <v>100</v>
      </c>
      <c r="T30" s="705" t="s">
        <v>14</v>
      </c>
      <c r="U30" s="706">
        <f t="shared" si="11"/>
        <v>100</v>
      </c>
      <c r="V30" s="705" t="s">
        <v>14</v>
      </c>
      <c r="W30" s="706">
        <f t="shared" si="12"/>
        <v>100</v>
      </c>
      <c r="X30" s="1355"/>
      <c r="Y30" s="364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41"/>
      <c r="Q31" s="1352">
        <f t="shared" si="8"/>
        <v>111</v>
      </c>
      <c r="R31" s="705" t="s">
        <v>14</v>
      </c>
      <c r="S31" s="706">
        <f t="shared" si="10"/>
        <v>100</v>
      </c>
      <c r="T31" s="705" t="s">
        <v>14</v>
      </c>
      <c r="U31" s="706">
        <f t="shared" si="11"/>
        <v>100</v>
      </c>
      <c r="V31" s="705" t="s">
        <v>14</v>
      </c>
      <c r="W31" s="706">
        <f t="shared" si="12"/>
        <v>100</v>
      </c>
      <c r="X31" s="1355"/>
      <c r="Y31" s="364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45" t="s">
        <v>1679</v>
      </c>
      <c r="Q32" s="1352">
        <f t="shared" si="8"/>
        <v>111</v>
      </c>
      <c r="R32" s="705" t="s">
        <v>14</v>
      </c>
      <c r="S32" s="706">
        <f t="shared" si="10"/>
        <v>100</v>
      </c>
      <c r="T32" s="705" t="s">
        <v>14</v>
      </c>
      <c r="U32" s="706">
        <f t="shared" si="11"/>
        <v>100</v>
      </c>
      <c r="V32" s="705" t="s">
        <v>14</v>
      </c>
      <c r="W32" s="706">
        <f t="shared" si="12"/>
        <v>100</v>
      </c>
      <c r="X32" s="1355"/>
      <c r="Y32" s="3645"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45"/>
      <c r="Q33" s="1352">
        <f t="shared" si="8"/>
        <v>111</v>
      </c>
      <c r="R33" s="708" t="s">
        <v>14</v>
      </c>
      <c r="S33" s="709">
        <f t="shared" si="10"/>
        <v>100</v>
      </c>
      <c r="T33" s="708" t="s">
        <v>14</v>
      </c>
      <c r="U33" s="709">
        <f t="shared" si="11"/>
        <v>100</v>
      </c>
      <c r="V33" s="708" t="s">
        <v>14</v>
      </c>
      <c r="W33" s="709">
        <f t="shared" si="12"/>
        <v>100</v>
      </c>
      <c r="X33" s="710"/>
      <c r="Y33" s="3645"/>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45"/>
      <c r="Q34" s="1352" t="str">
        <f>B34</f>
        <v>宗地面积</v>
      </c>
      <c r="R34" s="705" t="s">
        <v>14</v>
      </c>
      <c r="S34" s="706" t="e">
        <f t="shared" si="10"/>
        <v>#N/A</v>
      </c>
      <c r="T34" s="705" t="s">
        <v>14</v>
      </c>
      <c r="U34" s="706" t="e">
        <f t="shared" si="11"/>
        <v>#N/A</v>
      </c>
      <c r="V34" s="705" t="s">
        <v>14</v>
      </c>
      <c r="W34" s="706" t="e">
        <f t="shared" si="12"/>
        <v>#N/A</v>
      </c>
      <c r="X34" s="1355"/>
      <c r="Y34" s="3645"/>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45"/>
      <c r="Q35" s="1352" t="str">
        <f t="shared" ref="Q35:Q40" si="14">B35</f>
        <v>宗地形状</v>
      </c>
      <c r="R35" s="705" t="s">
        <v>14</v>
      </c>
      <c r="S35" s="706">
        <f t="shared" si="10"/>
        <v>100</v>
      </c>
      <c r="T35" s="705" t="s">
        <v>14</v>
      </c>
      <c r="U35" s="706">
        <f t="shared" si="11"/>
        <v>100</v>
      </c>
      <c r="V35" s="705" t="s">
        <v>14</v>
      </c>
      <c r="W35" s="706">
        <f t="shared" si="12"/>
        <v>100</v>
      </c>
      <c r="X35" s="1355"/>
      <c r="Y35" s="3645"/>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45"/>
      <c r="Q36" s="1352" t="str">
        <f t="shared" si="14"/>
        <v>宗地开发程度</v>
      </c>
      <c r="R36" s="701" t="s">
        <v>14</v>
      </c>
      <c r="S36" s="702">
        <f t="shared" si="10"/>
        <v>100</v>
      </c>
      <c r="T36" s="701" t="s">
        <v>14</v>
      </c>
      <c r="U36" s="702">
        <f t="shared" si="11"/>
        <v>100</v>
      </c>
      <c r="V36" s="701" t="s">
        <v>14</v>
      </c>
      <c r="W36" s="702">
        <f t="shared" si="12"/>
        <v>100</v>
      </c>
      <c r="X36" s="703"/>
      <c r="Y36" s="3645"/>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45" t="s">
        <v>1679</v>
      </c>
      <c r="Q37" s="1352" t="str">
        <f t="shared" si="14"/>
        <v>工程地质条件</v>
      </c>
      <c r="R37" s="705" t="s">
        <v>14</v>
      </c>
      <c r="S37" s="706">
        <f t="shared" si="10"/>
        <v>100</v>
      </c>
      <c r="T37" s="705" t="s">
        <v>14</v>
      </c>
      <c r="U37" s="706">
        <f t="shared" si="11"/>
        <v>100</v>
      </c>
      <c r="V37" s="705" t="s">
        <v>14</v>
      </c>
      <c r="W37" s="706">
        <f t="shared" si="12"/>
        <v>100</v>
      </c>
      <c r="X37" s="1355"/>
      <c r="Y37" s="3645"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45"/>
      <c r="Q38" s="1352">
        <f t="shared" si="14"/>
        <v>111</v>
      </c>
      <c r="R38" s="705" t="s">
        <v>14</v>
      </c>
      <c r="S38" s="706">
        <f t="shared" si="10"/>
        <v>100</v>
      </c>
      <c r="T38" s="705" t="s">
        <v>14</v>
      </c>
      <c r="U38" s="706">
        <f t="shared" si="11"/>
        <v>100</v>
      </c>
      <c r="V38" s="705" t="s">
        <v>14</v>
      </c>
      <c r="W38" s="706">
        <f t="shared" si="12"/>
        <v>100</v>
      </c>
      <c r="X38" s="1355"/>
      <c r="Y38" s="364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45"/>
      <c r="Q39" s="1352">
        <f t="shared" si="14"/>
        <v>111</v>
      </c>
      <c r="R39" s="705" t="s">
        <v>14</v>
      </c>
      <c r="S39" s="706">
        <f t="shared" si="10"/>
        <v>100</v>
      </c>
      <c r="T39" s="705" t="s">
        <v>14</v>
      </c>
      <c r="U39" s="706">
        <f t="shared" si="11"/>
        <v>100</v>
      </c>
      <c r="V39" s="705" t="s">
        <v>14</v>
      </c>
      <c r="W39" s="706">
        <f t="shared" si="12"/>
        <v>100</v>
      </c>
      <c r="X39" s="1355"/>
      <c r="Y39" s="364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45"/>
      <c r="Q40" s="1352">
        <f t="shared" si="14"/>
        <v>111</v>
      </c>
      <c r="R40" s="708" t="s">
        <v>14</v>
      </c>
      <c r="S40" s="709">
        <f t="shared" si="10"/>
        <v>100</v>
      </c>
      <c r="T40" s="708" t="s">
        <v>14</v>
      </c>
      <c r="U40" s="709">
        <f t="shared" si="11"/>
        <v>100</v>
      </c>
      <c r="V40" s="708" t="s">
        <v>14</v>
      </c>
      <c r="W40" s="709">
        <f t="shared" si="12"/>
        <v>100</v>
      </c>
      <c r="X40" s="710"/>
      <c r="Y40" s="3645"/>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33" t="str">
        <f>A41</f>
        <v>成交单价</v>
      </c>
      <c r="Q41" s="3633"/>
      <c r="R41" s="3647">
        <f>E41</f>
        <v>0</v>
      </c>
      <c r="S41" s="3647"/>
      <c r="T41" s="3647">
        <f>G41</f>
        <v>0</v>
      </c>
      <c r="U41" s="3647"/>
      <c r="V41" s="3647">
        <f>I41</f>
        <v>0</v>
      </c>
      <c r="W41" s="3647"/>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33" t="str">
        <f>A42</f>
        <v>比较价值（元/平方米）</v>
      </c>
      <c r="Q42" s="3633"/>
      <c r="R42" s="3747" t="e">
        <f>ROUND(PRODUCT(R41,AA7:AA40),0)</f>
        <v>#DIV/0!</v>
      </c>
      <c r="S42" s="3747"/>
      <c r="T42" s="3747" t="e">
        <f>ROUND(PRODUCT(T41,AB7:AB40),0)</f>
        <v>#DIV/0!</v>
      </c>
      <c r="U42" s="3747"/>
      <c r="V42" s="3747" t="e">
        <f>ROUND(PRODUCT(V41,AC7:AC40),0)</f>
        <v>#DIV/0!</v>
      </c>
      <c r="W42" s="3747"/>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35" t="str">
        <f>A43</f>
        <v>估价对象XX用房的比较价值（楼面单价，元/平方米）</v>
      </c>
      <c r="Q43" s="3636"/>
      <c r="R43" s="3748" t="e">
        <f>ROUND(IF(D42="简单平均",AVERAGE(R42:W42),R42*F42+T42*H42+V42*J42),0)</f>
        <v>#DIV/0!</v>
      </c>
      <c r="S43" s="3748"/>
      <c r="T43" s="3748"/>
      <c r="U43" s="3748"/>
      <c r="V43" s="3748"/>
      <c r="W43" s="3748"/>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52" t="s">
        <v>1870</v>
      </c>
      <c r="H50" s="3749"/>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1123.97</v>
      </c>
      <c r="F51" s="639" t="e">
        <f t="shared" ref="F51:F60" si="15">ROUND(B51*E51/10000,0)</f>
        <v>#DIV/0!</v>
      </c>
      <c r="G51" s="3648"/>
      <c r="H51" s="3633"/>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1252</v>
      </c>
      <c r="C2" s="2144" t="s">
        <v>2057</v>
      </c>
      <c r="D2" s="2144" t="s">
        <v>2058</v>
      </c>
      <c r="E2" s="2587">
        <f ca="1">SUMIF(E6:E13,"&lt;&gt;#ref!",E6:E13)</f>
        <v>1123.97</v>
      </c>
      <c r="F2" s="2768"/>
      <c r="G2" s="2768"/>
      <c r="H2" s="2768"/>
      <c r="I2" s="2768"/>
      <c r="J2" s="2768"/>
      <c r="K2" s="2768"/>
      <c r="L2" s="2768"/>
      <c r="M2" s="2768"/>
      <c r="N2" s="2768"/>
      <c r="O2" s="2768"/>
      <c r="P2" s="2768"/>
    </row>
    <row r="3" spans="1:16" ht="15.75">
      <c r="A3" s="2144" t="s">
        <v>2059</v>
      </c>
      <c r="B3" s="2577">
        <f ca="1">ROUND(B2*10000/E2,0)</f>
        <v>11139</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1252</v>
      </c>
      <c r="C6" s="2144" t="s">
        <v>2057</v>
      </c>
      <c r="D6" s="2768"/>
      <c r="E6" s="2587">
        <f ca="1">SUMIF(INDIRECT("'"&amp;A6&amp;"'"&amp;"!C:C"),"建筑面积",INDIRECT("'"&amp;A6&amp;"'"&amp;"!D:D"))</f>
        <v>1123.97</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63" t="s">
        <v>2585</v>
      </c>
      <c r="B20" s="3758" t="s">
        <v>2606</v>
      </c>
      <c r="C20" s="3078" t="s">
        <v>2417</v>
      </c>
      <c r="D20" s="3079"/>
      <c r="E20" s="3080">
        <v>1</v>
      </c>
      <c r="F20" s="3081" t="s">
        <v>2418</v>
      </c>
      <c r="G20" s="3081"/>
    </row>
    <row r="21" spans="1:13" ht="19.5" customHeight="1">
      <c r="A21" s="3764"/>
      <c r="B21" s="3757"/>
      <c r="C21" s="3082" t="s">
        <v>2419</v>
      </c>
      <c r="D21" s="3083"/>
      <c r="E21" s="3084">
        <v>1</v>
      </c>
      <c r="F21" s="3081" t="s">
        <v>2420</v>
      </c>
      <c r="G21" s="3081"/>
    </row>
    <row r="22" spans="1:13" ht="19.5" customHeight="1">
      <c r="A22" s="3764"/>
      <c r="B22" s="3757"/>
      <c r="C22" s="3082" t="s">
        <v>2421</v>
      </c>
      <c r="D22" s="3083"/>
      <c r="E22" s="3084">
        <v>0.9</v>
      </c>
      <c r="F22" s="3081" t="s">
        <v>2422</v>
      </c>
      <c r="G22" s="3081"/>
    </row>
    <row r="23" spans="1:13" ht="19.5" customHeight="1">
      <c r="A23" s="3764"/>
      <c r="B23" s="3757"/>
      <c r="C23" s="3082" t="s">
        <v>2423</v>
      </c>
      <c r="D23" s="3083"/>
      <c r="E23" s="3084">
        <v>0.9</v>
      </c>
      <c r="F23" s="3081" t="s">
        <v>2424</v>
      </c>
      <c r="G23" s="3081"/>
    </row>
    <row r="24" spans="1:13" ht="19.5" customHeight="1">
      <c r="A24" s="3764"/>
      <c r="B24" s="3757"/>
      <c r="C24" s="3082" t="s">
        <v>2425</v>
      </c>
      <c r="D24" s="3083"/>
      <c r="E24" s="3084">
        <v>0.8</v>
      </c>
      <c r="F24" s="3081" t="s">
        <v>2426</v>
      </c>
      <c r="G24" s="3081"/>
    </row>
    <row r="25" spans="1:13" ht="19.5" customHeight="1" thickBot="1">
      <c r="A25" s="3765"/>
      <c r="B25" s="3759"/>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60" t="s">
        <v>2609</v>
      </c>
      <c r="B27" s="3758" t="s">
        <v>2590</v>
      </c>
      <c r="C27" s="3078" t="s">
        <v>2430</v>
      </c>
      <c r="D27" s="3079"/>
      <c r="E27" s="3080">
        <v>1</v>
      </c>
      <c r="F27" s="3081" t="s">
        <v>2431</v>
      </c>
      <c r="G27" s="3081"/>
    </row>
    <row r="28" spans="1:13" ht="19.5" customHeight="1">
      <c r="A28" s="3761"/>
      <c r="B28" s="3757"/>
      <c r="C28" s="3082" t="s">
        <v>2432</v>
      </c>
      <c r="D28" s="3083"/>
      <c r="E28" s="3084">
        <v>1</v>
      </c>
      <c r="F28" s="3081" t="s">
        <v>2433</v>
      </c>
      <c r="G28" s="3081"/>
    </row>
    <row r="29" spans="1:13" ht="19.5" customHeight="1">
      <c r="A29" s="3761"/>
      <c r="B29" s="3757"/>
      <c r="C29" s="3082" t="s">
        <v>2434</v>
      </c>
      <c r="D29" s="3083"/>
      <c r="E29" s="3084">
        <v>0.8</v>
      </c>
      <c r="F29" s="3081" t="s">
        <v>2435</v>
      </c>
      <c r="G29" s="3081"/>
    </row>
    <row r="30" spans="1:13" ht="19.5" customHeight="1">
      <c r="A30" s="3761"/>
      <c r="B30" s="3757"/>
      <c r="C30" s="3082" t="s">
        <v>2436</v>
      </c>
      <c r="D30" s="3083"/>
      <c r="E30" s="3084">
        <v>0.8</v>
      </c>
      <c r="F30" s="3081" t="s">
        <v>2437</v>
      </c>
      <c r="G30" s="3081"/>
    </row>
    <row r="31" spans="1:13" ht="19.5" customHeight="1">
      <c r="A31" s="3761"/>
      <c r="B31" s="3757"/>
      <c r="C31" s="3082" t="s">
        <v>2438</v>
      </c>
      <c r="D31" s="3083"/>
      <c r="E31" s="3084">
        <v>0.8</v>
      </c>
      <c r="F31" s="3081" t="s">
        <v>2439</v>
      </c>
      <c r="G31" s="3081"/>
    </row>
    <row r="32" spans="1:13" ht="19.5" customHeight="1">
      <c r="A32" s="3761"/>
      <c r="B32" s="3757"/>
      <c r="C32" s="3082" t="s">
        <v>2440</v>
      </c>
      <c r="D32" s="3083"/>
      <c r="E32" s="3084">
        <v>0.7</v>
      </c>
      <c r="F32" s="3081" t="s">
        <v>2441</v>
      </c>
      <c r="G32" s="3081"/>
    </row>
    <row r="33" spans="1:7" ht="19.5" customHeight="1">
      <c r="A33" s="3761"/>
      <c r="B33" s="3757"/>
      <c r="C33" s="3082" t="s">
        <v>2442</v>
      </c>
      <c r="D33" s="3083"/>
      <c r="E33" s="3084">
        <v>0.8</v>
      </c>
      <c r="F33" s="3081" t="s">
        <v>2443</v>
      </c>
      <c r="G33" s="3081"/>
    </row>
    <row r="34" spans="1:7" ht="19.5" customHeight="1">
      <c r="A34" s="3761"/>
      <c r="B34" s="3757"/>
      <c r="C34" s="3082" t="s">
        <v>2444</v>
      </c>
      <c r="D34" s="3083"/>
      <c r="E34" s="3084">
        <v>0.6</v>
      </c>
      <c r="F34" s="3081" t="s">
        <v>2445</v>
      </c>
      <c r="G34" s="3081"/>
    </row>
    <row r="35" spans="1:7" ht="19.5" customHeight="1">
      <c r="A35" s="3761"/>
      <c r="B35" s="3757"/>
      <c r="C35" s="3082" t="s">
        <v>2446</v>
      </c>
      <c r="D35" s="3083"/>
      <c r="E35" s="3084">
        <v>0.2</v>
      </c>
      <c r="F35" s="3081" t="s">
        <v>2447</v>
      </c>
      <c r="G35" s="3081"/>
    </row>
    <row r="36" spans="1:7" ht="19.5" customHeight="1">
      <c r="A36" s="3761"/>
      <c r="B36" s="3757"/>
      <c r="C36" s="3082" t="s">
        <v>2448</v>
      </c>
      <c r="D36" s="3083"/>
      <c r="E36" s="3084">
        <v>0.2</v>
      </c>
      <c r="F36" s="3081" t="s">
        <v>2449</v>
      </c>
      <c r="G36" s="3081"/>
    </row>
    <row r="37" spans="1:7" ht="19.5" customHeight="1">
      <c r="A37" s="3761"/>
      <c r="B37" s="3755" t="s">
        <v>2610</v>
      </c>
      <c r="C37" s="3082" t="s">
        <v>2450</v>
      </c>
      <c r="D37" s="3083"/>
      <c r="E37" s="3084">
        <v>0.6</v>
      </c>
      <c r="F37" s="3081" t="s">
        <v>2451</v>
      </c>
      <c r="G37" s="3081"/>
    </row>
    <row r="38" spans="1:7" ht="19.5" customHeight="1">
      <c r="A38" s="3761"/>
      <c r="B38" s="3757"/>
      <c r="C38" s="3082" t="s">
        <v>2452</v>
      </c>
      <c r="D38" s="3083"/>
      <c r="E38" s="3084">
        <v>0.6</v>
      </c>
      <c r="F38" s="3081" t="s">
        <v>2453</v>
      </c>
      <c r="G38" s="3081"/>
    </row>
    <row r="39" spans="1:7" ht="19.5" customHeight="1" thickBot="1">
      <c r="A39" s="3762"/>
      <c r="B39" s="3759"/>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63" t="s">
        <v>2588</v>
      </c>
      <c r="B41" s="3758" t="s">
        <v>2612</v>
      </c>
      <c r="C41" s="3078" t="s">
        <v>2457</v>
      </c>
      <c r="D41" s="3079"/>
      <c r="E41" s="3080">
        <v>1</v>
      </c>
      <c r="F41" s="3081" t="s">
        <v>2458</v>
      </c>
      <c r="G41" s="3081"/>
    </row>
    <row r="42" spans="1:7" ht="19.5" customHeight="1">
      <c r="A42" s="3764"/>
      <c r="B42" s="3757"/>
      <c r="C42" s="3082" t="s">
        <v>2459</v>
      </c>
      <c r="D42" s="3083"/>
      <c r="E42" s="3084">
        <v>1</v>
      </c>
      <c r="F42" s="3081" t="s">
        <v>2460</v>
      </c>
      <c r="G42" s="3081"/>
    </row>
    <row r="43" spans="1:7" ht="19.5" customHeight="1">
      <c r="A43" s="3764"/>
      <c r="B43" s="3756"/>
      <c r="C43" s="3082" t="s">
        <v>2461</v>
      </c>
      <c r="D43" s="3083"/>
      <c r="E43" s="3084">
        <v>1.5</v>
      </c>
      <c r="F43" s="3081" t="s">
        <v>2462</v>
      </c>
      <c r="G43" s="3081"/>
    </row>
    <row r="44" spans="1:7" ht="19.5" customHeight="1">
      <c r="A44" s="3764"/>
      <c r="B44" s="3093" t="s">
        <v>2613</v>
      </c>
      <c r="C44" s="3082" t="s">
        <v>2614</v>
      </c>
      <c r="D44" s="3083"/>
      <c r="E44" s="3084">
        <v>2</v>
      </c>
      <c r="F44" s="3081" t="s">
        <v>2463</v>
      </c>
      <c r="G44" s="3081"/>
    </row>
    <row r="45" spans="1:7" ht="19.5" customHeight="1">
      <c r="A45" s="3764"/>
      <c r="B45" s="3755" t="s">
        <v>2615</v>
      </c>
      <c r="C45" s="3082" t="s">
        <v>2464</v>
      </c>
      <c r="D45" s="3083"/>
      <c r="E45" s="3084">
        <v>1</v>
      </c>
      <c r="F45" s="3081" t="s">
        <v>2465</v>
      </c>
      <c r="G45" s="3081"/>
    </row>
    <row r="46" spans="1:7" ht="19.5" customHeight="1">
      <c r="A46" s="3764"/>
      <c r="B46" s="3757"/>
      <c r="C46" s="3082" t="s">
        <v>2466</v>
      </c>
      <c r="D46" s="3083"/>
      <c r="E46" s="3084">
        <v>1</v>
      </c>
      <c r="F46" s="3081" t="s">
        <v>2467</v>
      </c>
      <c r="G46" s="3081"/>
    </row>
    <row r="47" spans="1:7" ht="19.5" customHeight="1">
      <c r="A47" s="3764"/>
      <c r="B47" s="3757"/>
      <c r="C47" s="3082" t="s">
        <v>2468</v>
      </c>
      <c r="D47" s="3083"/>
      <c r="E47" s="3084">
        <v>1</v>
      </c>
      <c r="F47" s="3081" t="s">
        <v>2469</v>
      </c>
      <c r="G47" s="3081"/>
    </row>
    <row r="48" spans="1:7" ht="19.5" customHeight="1">
      <c r="A48" s="3764"/>
      <c r="B48" s="3757"/>
      <c r="C48" s="3082" t="s">
        <v>2470</v>
      </c>
      <c r="D48" s="3083"/>
      <c r="E48" s="3084">
        <v>1</v>
      </c>
      <c r="F48" s="3081" t="s">
        <v>2471</v>
      </c>
      <c r="G48" s="3081"/>
    </row>
    <row r="49" spans="1:7" ht="19.5" customHeight="1">
      <c r="A49" s="3764"/>
      <c r="B49" s="3757"/>
      <c r="C49" s="3082" t="s">
        <v>2472</v>
      </c>
      <c r="D49" s="3083"/>
      <c r="E49" s="3084">
        <v>1</v>
      </c>
      <c r="F49" s="3081" t="s">
        <v>2473</v>
      </c>
      <c r="G49" s="3081"/>
    </row>
    <row r="50" spans="1:7" ht="19.5" customHeight="1">
      <c r="A50" s="3764"/>
      <c r="B50" s="3757"/>
      <c r="C50" s="3082" t="s">
        <v>2474</v>
      </c>
      <c r="D50" s="3083"/>
      <c r="E50" s="3084">
        <v>1</v>
      </c>
      <c r="F50" s="3081" t="s">
        <v>2475</v>
      </c>
      <c r="G50" s="3081"/>
    </row>
    <row r="51" spans="1:7" ht="19.5" customHeight="1" thickBot="1">
      <c r="A51" s="3765"/>
      <c r="B51" s="3759"/>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55" t="s">
        <v>2629</v>
      </c>
      <c r="C73" s="3067" t="s">
        <v>2630</v>
      </c>
      <c r="D73" s="3067" t="s">
        <v>2631</v>
      </c>
      <c r="E73" s="3093">
        <v>0.2</v>
      </c>
      <c r="F73" s="3093">
        <v>25</v>
      </c>
    </row>
    <row r="74" spans="1:7" ht="24">
      <c r="A74" s="3093">
        <v>2</v>
      </c>
      <c r="B74" s="3757"/>
      <c r="C74" s="3067" t="s">
        <v>2632</v>
      </c>
      <c r="D74" s="3067" t="s">
        <v>2633</v>
      </c>
      <c r="E74" s="3093">
        <v>0.2</v>
      </c>
      <c r="F74" s="3093">
        <v>25</v>
      </c>
    </row>
    <row r="75" spans="1:7" ht="24">
      <c r="A75" s="3093">
        <v>3</v>
      </c>
      <c r="B75" s="3757"/>
      <c r="C75" s="3067" t="s">
        <v>2634</v>
      </c>
      <c r="D75" s="3067" t="s">
        <v>2635</v>
      </c>
      <c r="E75" s="3093">
        <v>0.2</v>
      </c>
      <c r="F75" s="3093">
        <v>25</v>
      </c>
    </row>
    <row r="76" spans="1:7" ht="13.5">
      <c r="A76" s="3093">
        <v>4</v>
      </c>
      <c r="B76" s="3757"/>
      <c r="C76" s="3067" t="s">
        <v>2636</v>
      </c>
      <c r="D76" s="3067" t="s">
        <v>2637</v>
      </c>
      <c r="E76" s="3093">
        <v>0.15</v>
      </c>
      <c r="F76" s="3093">
        <v>20</v>
      </c>
    </row>
    <row r="77" spans="1:7" ht="24">
      <c r="A77" s="3093">
        <v>5</v>
      </c>
      <c r="B77" s="3757"/>
      <c r="C77" s="3067" t="s">
        <v>2638</v>
      </c>
      <c r="D77" s="3067" t="s">
        <v>2639</v>
      </c>
      <c r="E77" s="3093">
        <v>0.15</v>
      </c>
      <c r="F77" s="3093">
        <v>20</v>
      </c>
    </row>
    <row r="78" spans="1:7" ht="24">
      <c r="A78" s="3093">
        <v>6</v>
      </c>
      <c r="B78" s="3757"/>
      <c r="C78" s="3067" t="s">
        <v>2640</v>
      </c>
      <c r="D78" s="3067" t="s">
        <v>2641</v>
      </c>
      <c r="E78" s="3093">
        <v>0.15</v>
      </c>
      <c r="F78" s="3093">
        <v>20</v>
      </c>
    </row>
    <row r="79" spans="1:7" ht="24">
      <c r="A79" s="3093">
        <v>7</v>
      </c>
      <c r="B79" s="3757"/>
      <c r="C79" s="3067" t="s">
        <v>2642</v>
      </c>
      <c r="D79" s="3067" t="s">
        <v>2643</v>
      </c>
      <c r="E79" s="3093">
        <v>0.15</v>
      </c>
      <c r="F79" s="3093">
        <v>20</v>
      </c>
    </row>
    <row r="80" spans="1:7" ht="24">
      <c r="A80" s="3093">
        <v>8</v>
      </c>
      <c r="B80" s="3757"/>
      <c r="C80" s="3067" t="s">
        <v>2644</v>
      </c>
      <c r="D80" s="3067" t="s">
        <v>2645</v>
      </c>
      <c r="E80" s="3093">
        <v>0.1</v>
      </c>
      <c r="F80" s="3093">
        <v>15</v>
      </c>
    </row>
    <row r="81" spans="1:6" ht="24">
      <c r="A81" s="3093">
        <v>9</v>
      </c>
      <c r="B81" s="3757"/>
      <c r="C81" s="3067" t="s">
        <v>2646</v>
      </c>
      <c r="D81" s="3067" t="s">
        <v>2647</v>
      </c>
      <c r="E81" s="3093">
        <v>0.1</v>
      </c>
      <c r="F81" s="3093">
        <v>15</v>
      </c>
    </row>
    <row r="82" spans="1:6" ht="24">
      <c r="A82" s="3093">
        <v>10</v>
      </c>
      <c r="B82" s="3757"/>
      <c r="C82" s="3067" t="s">
        <v>2648</v>
      </c>
      <c r="D82" s="3067" t="s">
        <v>2649</v>
      </c>
      <c r="E82" s="3093">
        <v>0.1</v>
      </c>
      <c r="F82" s="3093">
        <v>15</v>
      </c>
    </row>
    <row r="83" spans="1:6" ht="24">
      <c r="A83" s="3093">
        <v>11</v>
      </c>
      <c r="B83" s="3757"/>
      <c r="C83" s="3067" t="s">
        <v>2650</v>
      </c>
      <c r="D83" s="3067" t="s">
        <v>2651</v>
      </c>
      <c r="E83" s="3093">
        <v>0.1</v>
      </c>
      <c r="F83" s="3093">
        <v>15</v>
      </c>
    </row>
    <row r="84" spans="1:6" ht="24">
      <c r="A84" s="3093">
        <v>12</v>
      </c>
      <c r="B84" s="3757"/>
      <c r="C84" s="3067" t="s">
        <v>2652</v>
      </c>
      <c r="D84" s="3067" t="s">
        <v>2653</v>
      </c>
      <c r="E84" s="3093">
        <v>0.1</v>
      </c>
      <c r="F84" s="3093">
        <v>15</v>
      </c>
    </row>
    <row r="85" spans="1:6" ht="13.5">
      <c r="A85" s="3093">
        <v>13</v>
      </c>
      <c r="B85" s="3757"/>
      <c r="C85" s="3067" t="s">
        <v>2654</v>
      </c>
      <c r="D85" s="3067" t="s">
        <v>2655</v>
      </c>
      <c r="E85" s="3093">
        <v>0.1</v>
      </c>
      <c r="F85" s="3093">
        <v>15</v>
      </c>
    </row>
    <row r="86" spans="1:6" ht="13.5">
      <c r="A86" s="3093">
        <v>14</v>
      </c>
      <c r="B86" s="3757"/>
      <c r="C86" s="3067" t="s">
        <v>2656</v>
      </c>
      <c r="D86" s="3067" t="s">
        <v>2657</v>
      </c>
      <c r="E86" s="3093">
        <v>0.1</v>
      </c>
      <c r="F86" s="3093">
        <v>15</v>
      </c>
    </row>
    <row r="87" spans="1:6" ht="13.5">
      <c r="A87" s="3093">
        <v>15</v>
      </c>
      <c r="B87" s="3757"/>
      <c r="C87" s="3067" t="s">
        <v>2658</v>
      </c>
      <c r="D87" s="3067" t="s">
        <v>2659</v>
      </c>
      <c r="E87" s="3093">
        <v>0.1</v>
      </c>
      <c r="F87" s="3093">
        <v>15</v>
      </c>
    </row>
    <row r="88" spans="1:6" ht="24">
      <c r="A88" s="3093">
        <v>16</v>
      </c>
      <c r="B88" s="3757"/>
      <c r="C88" s="3067" t="s">
        <v>2660</v>
      </c>
      <c r="D88" s="3067" t="s">
        <v>2661</v>
      </c>
      <c r="E88" s="3093">
        <v>0.1</v>
      </c>
      <c r="F88" s="3093">
        <v>15</v>
      </c>
    </row>
    <row r="89" spans="1:6" ht="24">
      <c r="A89" s="3093">
        <v>17</v>
      </c>
      <c r="B89" s="3756"/>
      <c r="C89" s="3067" t="s">
        <v>2662</v>
      </c>
      <c r="D89" s="3067" t="s">
        <v>2663</v>
      </c>
      <c r="E89" s="3093">
        <v>0.1</v>
      </c>
      <c r="F89" s="3093">
        <v>15</v>
      </c>
    </row>
    <row r="90" spans="1:6" ht="13.5">
      <c r="A90" s="3093">
        <v>18</v>
      </c>
      <c r="B90" s="3755" t="s">
        <v>2664</v>
      </c>
      <c r="C90" s="3067" t="s">
        <v>2665</v>
      </c>
      <c r="D90" s="3067" t="s">
        <v>2666</v>
      </c>
      <c r="E90" s="3093">
        <v>0.2</v>
      </c>
      <c r="F90" s="3093">
        <v>25</v>
      </c>
    </row>
    <row r="91" spans="1:6" ht="24">
      <c r="A91" s="3093">
        <v>19</v>
      </c>
      <c r="B91" s="3757"/>
      <c r="C91" s="3067" t="s">
        <v>2667</v>
      </c>
      <c r="D91" s="3067" t="s">
        <v>2668</v>
      </c>
      <c r="E91" s="3093">
        <v>0.2</v>
      </c>
      <c r="F91" s="3093">
        <v>25</v>
      </c>
    </row>
    <row r="92" spans="1:6" ht="13.5">
      <c r="A92" s="3093">
        <v>20</v>
      </c>
      <c r="B92" s="3757"/>
      <c r="C92" s="3067" t="s">
        <v>2669</v>
      </c>
      <c r="D92" s="3067" t="s">
        <v>2670</v>
      </c>
      <c r="E92" s="3093">
        <v>0.15</v>
      </c>
      <c r="F92" s="3093">
        <v>20</v>
      </c>
    </row>
    <row r="93" spans="1:6" ht="13.5">
      <c r="A93" s="3093">
        <v>21</v>
      </c>
      <c r="B93" s="3757"/>
      <c r="C93" s="3067" t="s">
        <v>2671</v>
      </c>
      <c r="D93" s="3067" t="s">
        <v>2672</v>
      </c>
      <c r="E93" s="3093">
        <v>0.15</v>
      </c>
      <c r="F93" s="3093">
        <v>20</v>
      </c>
    </row>
    <row r="94" spans="1:6" ht="13.5">
      <c r="A94" s="3093">
        <v>22</v>
      </c>
      <c r="B94" s="3757"/>
      <c r="C94" s="3067" t="s">
        <v>2673</v>
      </c>
      <c r="D94" s="3067" t="s">
        <v>2674</v>
      </c>
      <c r="E94" s="3093">
        <v>0.15</v>
      </c>
      <c r="F94" s="3093">
        <v>20</v>
      </c>
    </row>
    <row r="95" spans="1:6" ht="36">
      <c r="A95" s="3093">
        <v>23</v>
      </c>
      <c r="B95" s="3757"/>
      <c r="C95" s="3067" t="s">
        <v>2675</v>
      </c>
      <c r="D95" s="3067" t="s">
        <v>2676</v>
      </c>
      <c r="E95" s="3093">
        <v>0.15</v>
      </c>
      <c r="F95" s="3093">
        <v>20</v>
      </c>
    </row>
    <row r="96" spans="1:6" ht="13.5">
      <c r="A96" s="3093">
        <v>24</v>
      </c>
      <c r="B96" s="3757"/>
      <c r="C96" s="3067" t="s">
        <v>2677</v>
      </c>
      <c r="D96" s="3067" t="s">
        <v>2678</v>
      </c>
      <c r="E96" s="3093">
        <v>0.1</v>
      </c>
      <c r="F96" s="3093">
        <v>15</v>
      </c>
    </row>
    <row r="97" spans="1:6" ht="13.5">
      <c r="A97" s="3093">
        <v>25</v>
      </c>
      <c r="B97" s="3757"/>
      <c r="C97" s="3067" t="s">
        <v>2679</v>
      </c>
      <c r="D97" s="3067" t="s">
        <v>2680</v>
      </c>
      <c r="E97" s="3093">
        <v>0.1</v>
      </c>
      <c r="F97" s="3093">
        <v>15</v>
      </c>
    </row>
    <row r="98" spans="1:6" ht="24">
      <c r="A98" s="3093">
        <v>26</v>
      </c>
      <c r="B98" s="3757"/>
      <c r="C98" s="3067" t="s">
        <v>2681</v>
      </c>
      <c r="D98" s="3067" t="s">
        <v>2682</v>
      </c>
      <c r="E98" s="3093">
        <v>0.1</v>
      </c>
      <c r="F98" s="3093">
        <v>15</v>
      </c>
    </row>
    <row r="99" spans="1:6" ht="24">
      <c r="A99" s="3093">
        <v>27</v>
      </c>
      <c r="B99" s="3757"/>
      <c r="C99" s="3067" t="s">
        <v>2683</v>
      </c>
      <c r="D99" s="3067" t="s">
        <v>2684</v>
      </c>
      <c r="E99" s="3093">
        <v>0.1</v>
      </c>
      <c r="F99" s="3093">
        <v>15</v>
      </c>
    </row>
    <row r="100" spans="1:6" ht="13.5">
      <c r="A100" s="3093">
        <v>28</v>
      </c>
      <c r="B100" s="3757"/>
      <c r="C100" s="3067" t="s">
        <v>2685</v>
      </c>
      <c r="D100" s="3067" t="s">
        <v>2686</v>
      </c>
      <c r="E100" s="3093">
        <v>0.1</v>
      </c>
      <c r="F100" s="3093">
        <v>15</v>
      </c>
    </row>
    <row r="101" spans="1:6" ht="13.5">
      <c r="A101" s="3093">
        <v>29</v>
      </c>
      <c r="B101" s="3757"/>
      <c r="C101" s="3067" t="s">
        <v>2687</v>
      </c>
      <c r="D101" s="3067" t="s">
        <v>2688</v>
      </c>
      <c r="E101" s="3093">
        <v>0.1</v>
      </c>
      <c r="F101" s="3093">
        <v>15</v>
      </c>
    </row>
    <row r="102" spans="1:6" ht="13.5">
      <c r="A102" s="3093">
        <v>30</v>
      </c>
      <c r="B102" s="3757"/>
      <c r="C102" s="3067" t="s">
        <v>2689</v>
      </c>
      <c r="D102" s="3067" t="s">
        <v>2690</v>
      </c>
      <c r="E102" s="3093">
        <v>0.1</v>
      </c>
      <c r="F102" s="3093">
        <v>15</v>
      </c>
    </row>
    <row r="103" spans="1:6" ht="24">
      <c r="A103" s="3093">
        <v>31</v>
      </c>
      <c r="B103" s="3757"/>
      <c r="C103" s="3067" t="s">
        <v>2691</v>
      </c>
      <c r="D103" s="3067" t="s">
        <v>2692</v>
      </c>
      <c r="E103" s="3093">
        <v>0.1</v>
      </c>
      <c r="F103" s="3093">
        <v>15</v>
      </c>
    </row>
    <row r="104" spans="1:6" ht="24">
      <c r="A104" s="3093">
        <v>32</v>
      </c>
      <c r="B104" s="3757"/>
      <c r="C104" s="3067" t="s">
        <v>2693</v>
      </c>
      <c r="D104" s="3067" t="s">
        <v>2694</v>
      </c>
      <c r="E104" s="3093">
        <v>0.1</v>
      </c>
      <c r="F104" s="3093">
        <v>15</v>
      </c>
    </row>
    <row r="105" spans="1:6" ht="24">
      <c r="A105" s="3093">
        <v>33</v>
      </c>
      <c r="B105" s="3757"/>
      <c r="C105" s="3067" t="s">
        <v>2695</v>
      </c>
      <c r="D105" s="3067" t="s">
        <v>2696</v>
      </c>
      <c r="E105" s="3093">
        <v>0.1</v>
      </c>
      <c r="F105" s="3093">
        <v>15</v>
      </c>
    </row>
    <row r="106" spans="1:6" ht="24">
      <c r="A106" s="3093">
        <v>34</v>
      </c>
      <c r="B106" s="3756"/>
      <c r="C106" s="3067" t="s">
        <v>2697</v>
      </c>
      <c r="D106" s="3067" t="s">
        <v>2698</v>
      </c>
      <c r="E106" s="3093">
        <v>0.1</v>
      </c>
      <c r="F106" s="3093">
        <v>15</v>
      </c>
    </row>
    <row r="107" spans="1:6" ht="24">
      <c r="A107" s="3093">
        <v>35</v>
      </c>
      <c r="B107" s="3755" t="s">
        <v>2699</v>
      </c>
      <c r="C107" s="3093" t="s">
        <v>2700</v>
      </c>
      <c r="D107" s="3067" t="s">
        <v>2701</v>
      </c>
      <c r="E107" s="3093">
        <v>0.15</v>
      </c>
      <c r="F107" s="3093">
        <v>20</v>
      </c>
    </row>
    <row r="108" spans="1:6" ht="13.5">
      <c r="A108" s="3093">
        <v>36</v>
      </c>
      <c r="B108" s="3757"/>
      <c r="C108" s="3093" t="s">
        <v>2702</v>
      </c>
      <c r="D108" s="3067" t="s">
        <v>2703</v>
      </c>
      <c r="E108" s="3093">
        <v>0.15</v>
      </c>
      <c r="F108" s="3093">
        <v>20</v>
      </c>
    </row>
    <row r="109" spans="1:6" ht="13.5">
      <c r="A109" s="3093">
        <v>37</v>
      </c>
      <c r="B109" s="3757"/>
      <c r="C109" s="3093" t="s">
        <v>2704</v>
      </c>
      <c r="D109" s="3067" t="s">
        <v>2705</v>
      </c>
      <c r="E109" s="3093">
        <v>0.15</v>
      </c>
      <c r="F109" s="3093">
        <v>20</v>
      </c>
    </row>
    <row r="110" spans="1:6" ht="13.5">
      <c r="A110" s="3093">
        <v>38</v>
      </c>
      <c r="B110" s="3757"/>
      <c r="C110" s="3093" t="s">
        <v>2706</v>
      </c>
      <c r="D110" s="3067" t="s">
        <v>2707</v>
      </c>
      <c r="E110" s="3093">
        <v>0.1</v>
      </c>
      <c r="F110" s="3093">
        <v>15</v>
      </c>
    </row>
    <row r="111" spans="1:6" ht="24">
      <c r="A111" s="3093">
        <v>39</v>
      </c>
      <c r="B111" s="3757"/>
      <c r="C111" s="3093" t="s">
        <v>2708</v>
      </c>
      <c r="D111" s="3067" t="s">
        <v>2709</v>
      </c>
      <c r="E111" s="3093">
        <v>0.1</v>
      </c>
      <c r="F111" s="3093">
        <v>15</v>
      </c>
    </row>
    <row r="112" spans="1:6" ht="24">
      <c r="A112" s="3093">
        <v>40</v>
      </c>
      <c r="B112" s="3756"/>
      <c r="C112" s="3093" t="s">
        <v>2710</v>
      </c>
      <c r="D112" s="3067" t="s">
        <v>2711</v>
      </c>
      <c r="E112" s="3093">
        <v>0.1</v>
      </c>
      <c r="F112" s="3093">
        <v>15</v>
      </c>
    </row>
    <row r="113" spans="1:6" ht="13.5">
      <c r="A113" s="3093">
        <v>41</v>
      </c>
      <c r="B113" s="3754" t="s">
        <v>2712</v>
      </c>
      <c r="C113" s="3093" t="s">
        <v>2713</v>
      </c>
      <c r="D113" s="3067" t="s">
        <v>2714</v>
      </c>
      <c r="E113" s="3093">
        <v>0.1</v>
      </c>
      <c r="F113" s="3093">
        <v>15</v>
      </c>
    </row>
    <row r="114" spans="1:6" ht="13.5">
      <c r="A114" s="3093">
        <v>42</v>
      </c>
      <c r="B114" s="3754"/>
      <c r="C114" s="3093" t="s">
        <v>2715</v>
      </c>
      <c r="D114" s="3067" t="s">
        <v>2716</v>
      </c>
      <c r="E114" s="3093">
        <v>0.1</v>
      </c>
      <c r="F114" s="3093">
        <v>15</v>
      </c>
    </row>
    <row r="115" spans="1:6" ht="24">
      <c r="A115" s="3093">
        <v>43</v>
      </c>
      <c r="B115" s="3754"/>
      <c r="C115" s="3093" t="s">
        <v>2717</v>
      </c>
      <c r="D115" s="3067" t="s">
        <v>2718</v>
      </c>
      <c r="E115" s="3093">
        <v>0.1</v>
      </c>
      <c r="F115" s="3093">
        <v>15</v>
      </c>
    </row>
    <row r="116" spans="1:6" ht="13.5">
      <c r="A116" s="3093">
        <v>44</v>
      </c>
      <c r="B116" s="3755" t="s">
        <v>2719</v>
      </c>
      <c r="C116" s="3093" t="s">
        <v>2720</v>
      </c>
      <c r="D116" s="3067" t="s">
        <v>2721</v>
      </c>
      <c r="E116" s="3093">
        <v>0.1</v>
      </c>
      <c r="F116" s="3093">
        <v>15</v>
      </c>
    </row>
    <row r="117" spans="1:6" ht="24">
      <c r="A117" s="3093">
        <v>45</v>
      </c>
      <c r="B117" s="3756"/>
      <c r="C117" s="3067" t="s">
        <v>2722</v>
      </c>
      <c r="D117" s="3067" t="s">
        <v>2723</v>
      </c>
      <c r="E117" s="3093">
        <v>0.1</v>
      </c>
      <c r="F117" s="3093">
        <v>15</v>
      </c>
    </row>
    <row r="118" spans="1:6" ht="24">
      <c r="A118" s="3093">
        <v>46</v>
      </c>
      <c r="B118" s="3755" t="s">
        <v>2724</v>
      </c>
      <c r="C118" s="3093" t="s">
        <v>2725</v>
      </c>
      <c r="D118" s="3067" t="s">
        <v>2726</v>
      </c>
      <c r="E118" s="3093">
        <v>0.1</v>
      </c>
      <c r="F118" s="3093">
        <v>15</v>
      </c>
    </row>
    <row r="119" spans="1:6" ht="24">
      <c r="A119" s="3093">
        <v>47</v>
      </c>
      <c r="B119" s="3756"/>
      <c r="C119" s="3093" t="s">
        <v>2727</v>
      </c>
      <c r="D119" s="3067" t="s">
        <v>2728</v>
      </c>
      <c r="E119" s="3093">
        <v>0.1</v>
      </c>
      <c r="F119" s="3093">
        <v>15</v>
      </c>
    </row>
    <row r="120" spans="1:6" ht="13.5">
      <c r="A120" s="3093">
        <v>48</v>
      </c>
      <c r="B120" s="3755" t="s">
        <v>2729</v>
      </c>
      <c r="C120" s="3093" t="s">
        <v>2730</v>
      </c>
      <c r="D120" s="3067" t="s">
        <v>2731</v>
      </c>
      <c r="E120" s="3093">
        <v>0.1</v>
      </c>
      <c r="F120" s="3093">
        <v>15</v>
      </c>
    </row>
    <row r="121" spans="1:6" ht="13.5">
      <c r="A121" s="3093">
        <v>49</v>
      </c>
      <c r="B121" s="3756"/>
      <c r="C121" s="3093" t="s">
        <v>2732</v>
      </c>
      <c r="D121" s="3067" t="s">
        <v>2733</v>
      </c>
      <c r="E121" s="3093">
        <v>0.1</v>
      </c>
      <c r="F121" s="3093">
        <v>15</v>
      </c>
    </row>
    <row r="122" spans="1:6" ht="24">
      <c r="A122" s="3093">
        <v>50</v>
      </c>
      <c r="B122" s="3754" t="s">
        <v>2734</v>
      </c>
      <c r="C122" s="3093" t="s">
        <v>2735</v>
      </c>
      <c r="D122" s="3067" t="s">
        <v>2736</v>
      </c>
      <c r="E122" s="3093">
        <v>0.1</v>
      </c>
      <c r="F122" s="3093">
        <v>15</v>
      </c>
    </row>
    <row r="123" spans="1:6" ht="24">
      <c r="A123" s="3093">
        <v>51</v>
      </c>
      <c r="B123" s="3754"/>
      <c r="C123" s="3093" t="s">
        <v>2737</v>
      </c>
      <c r="D123" s="3067" t="s">
        <v>2738</v>
      </c>
      <c r="E123" s="3093">
        <v>0.1</v>
      </c>
      <c r="F123" s="3093">
        <v>15</v>
      </c>
    </row>
    <row r="124" spans="1:6" ht="24">
      <c r="A124" s="3093">
        <v>52</v>
      </c>
      <c r="B124" s="3754" t="s">
        <v>2739</v>
      </c>
      <c r="C124" s="3093" t="s">
        <v>2740</v>
      </c>
      <c r="D124" s="3067" t="s">
        <v>2741</v>
      </c>
      <c r="E124" s="3093">
        <v>0.1</v>
      </c>
      <c r="F124" s="3093">
        <v>15</v>
      </c>
    </row>
    <row r="125" spans="1:6" ht="24">
      <c r="A125" s="3093">
        <v>53</v>
      </c>
      <c r="B125" s="3754"/>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54" t="s">
        <v>2747</v>
      </c>
      <c r="C127" s="3093" t="s">
        <v>2748</v>
      </c>
      <c r="D127" s="3067" t="s">
        <v>2749</v>
      </c>
      <c r="E127" s="3093">
        <v>0.1</v>
      </c>
      <c r="F127" s="3093">
        <v>15</v>
      </c>
    </row>
    <row r="128" spans="1:6" ht="13.5">
      <c r="A128" s="3093">
        <v>56</v>
      </c>
      <c r="B128" s="3754"/>
      <c r="C128" s="3093" t="s">
        <v>2750</v>
      </c>
      <c r="D128" s="3067" t="s">
        <v>2751</v>
      </c>
      <c r="E128" s="3093">
        <v>0.1</v>
      </c>
      <c r="F128" s="3093">
        <v>15</v>
      </c>
    </row>
    <row r="129" spans="1:6" ht="24">
      <c r="A129" s="3093">
        <v>57</v>
      </c>
      <c r="B129" s="3754"/>
      <c r="C129" s="3093" t="s">
        <v>2752</v>
      </c>
      <c r="D129" s="3067" t="s">
        <v>2753</v>
      </c>
      <c r="E129" s="3093">
        <v>0.1</v>
      </c>
      <c r="F129" s="3093">
        <v>15</v>
      </c>
    </row>
    <row r="130" spans="1:6" ht="24">
      <c r="A130" s="3093">
        <v>58</v>
      </c>
      <c r="B130" s="3754" t="s">
        <v>2754</v>
      </c>
      <c r="C130" s="3093" t="s">
        <v>2755</v>
      </c>
      <c r="D130" s="3067" t="s">
        <v>2756</v>
      </c>
      <c r="E130" s="3093">
        <v>0.1</v>
      </c>
      <c r="F130" s="3093">
        <v>15</v>
      </c>
    </row>
    <row r="131" spans="1:6" ht="13.5">
      <c r="A131" s="3093">
        <v>59</v>
      </c>
      <c r="B131" s="3754"/>
      <c r="C131" s="3093" t="s">
        <v>2757</v>
      </c>
      <c r="D131" s="3067" t="s">
        <v>2758</v>
      </c>
      <c r="E131" s="3093">
        <v>0.1</v>
      </c>
      <c r="F131" s="3093">
        <v>15</v>
      </c>
    </row>
    <row r="132" spans="1:6" ht="13.5">
      <c r="A132" s="3093">
        <v>60</v>
      </c>
      <c r="B132" s="3755" t="s">
        <v>2759</v>
      </c>
      <c r="C132" s="3093" t="s">
        <v>2760</v>
      </c>
      <c r="D132" s="3067" t="s">
        <v>2761</v>
      </c>
      <c r="E132" s="3093">
        <v>0.1</v>
      </c>
      <c r="F132" s="3093">
        <v>15</v>
      </c>
    </row>
    <row r="133" spans="1:6" ht="13.5">
      <c r="A133" s="3093">
        <v>61</v>
      </c>
      <c r="B133" s="3756"/>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54" t="s">
        <v>2767</v>
      </c>
      <c r="C135" s="3093" t="s">
        <v>2768</v>
      </c>
      <c r="D135" s="3067" t="s">
        <v>2769</v>
      </c>
      <c r="E135" s="3093">
        <v>0.1</v>
      </c>
      <c r="F135" s="3093">
        <v>15</v>
      </c>
    </row>
    <row r="136" spans="1:6" ht="13.5">
      <c r="A136" s="3093">
        <v>64</v>
      </c>
      <c r="B136" s="3754"/>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26423</v>
      </c>
      <c r="C2" s="2" t="s">
        <v>106</v>
      </c>
      <c r="D2" s="199"/>
      <c r="E2" s="199"/>
      <c r="F2" s="199"/>
      <c r="G2" s="199"/>
    </row>
    <row r="3" spans="1:7" s="200" customFormat="1" ht="18" customHeight="1" thickBot="1">
      <c r="A3" s="203" t="s">
        <v>58</v>
      </c>
      <c r="B3" s="204">
        <f ca="1">ROUND(B2*10000/'数据-汇总表'!E3,0)</f>
        <v>235086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1123.97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1123.97</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25956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1123.97</v>
      </c>
      <c r="E37" s="249">
        <f>'数据-取费表'!B35</f>
        <v>200</v>
      </c>
      <c r="F37" s="259"/>
      <c r="G37" s="261" t="s">
        <v>92</v>
      </c>
    </row>
    <row r="38" spans="1:7" ht="13.5" customHeight="1">
      <c r="A38" s="780" t="s">
        <v>354</v>
      </c>
      <c r="B38" s="215" t="s">
        <v>36</v>
      </c>
      <c r="C38" s="220">
        <f>ROUND(C34*F38,0)</f>
        <v>5</v>
      </c>
      <c r="D38" s="220"/>
      <c r="E38" s="220"/>
      <c r="F38" s="259">
        <f>'数据-取费表'!B36</f>
        <v>1.4999999999999999E-2</v>
      </c>
      <c r="G38" s="219" t="s">
        <v>90</v>
      </c>
    </row>
    <row r="39" spans="1:7" s="214" customFormat="1" ht="13.5" customHeight="1">
      <c r="A39" s="777" t="s">
        <v>338</v>
      </c>
      <c r="B39" s="210" t="s">
        <v>77</v>
      </c>
      <c r="C39" s="232">
        <f>ROUND(C33*F20,0)</f>
        <v>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8</v>
      </c>
      <c r="D42" s="238"/>
      <c r="E42" s="238"/>
      <c r="F42" s="239"/>
      <c r="G42" s="3680" t="s">
        <v>94</v>
      </c>
    </row>
    <row r="43" spans="1:7" ht="13.5" customHeight="1">
      <c r="A43" s="780" t="s">
        <v>347</v>
      </c>
      <c r="B43" s="215" t="s">
        <v>426</v>
      </c>
      <c r="C43" s="238">
        <f ca="1">ROUND(IF('数据-取费表'!B22&lt;=1,C39*F22*'数据-取费表'!B21/2,C39*(POWER((1+F22),'数据-取费表'!B21/2)-1)),0)</f>
        <v>0</v>
      </c>
      <c r="D43" s="238"/>
      <c r="E43" s="238"/>
      <c r="F43" s="239"/>
      <c r="G43" s="3681"/>
    </row>
    <row r="44" spans="1:7" ht="13.5" customHeight="1">
      <c r="A44" s="780" t="s">
        <v>348</v>
      </c>
      <c r="B44" s="215" t="s">
        <v>428</v>
      </c>
      <c r="C44" s="238">
        <f ca="1">ROUND(IF('数据-取费表'!B22&lt;=1,C40*F22*'数据-取费表'!B21/2,C40*(POWER((1+F22),'数据-取费表'!B21/2)-1)),4)</f>
        <v>4.0000000000000002E-4</v>
      </c>
      <c r="D44" s="238"/>
      <c r="E44" s="238"/>
      <c r="F44" s="239"/>
      <c r="G44" s="3682"/>
    </row>
    <row r="45" spans="1:7" s="214" customFormat="1" ht="13.5" customHeight="1">
      <c r="A45" s="777" t="s">
        <v>341</v>
      </c>
      <c r="B45" s="244" t="s">
        <v>85</v>
      </c>
      <c r="C45" s="245">
        <f>C46</f>
        <v>41</v>
      </c>
      <c r="D45" s="235">
        <f>C47</f>
        <v>2E-3</v>
      </c>
      <c r="E45" s="236" t="s">
        <v>102</v>
      </c>
      <c r="F45" s="246"/>
      <c r="G45" s="247" t="s">
        <v>434</v>
      </c>
    </row>
    <row r="46" spans="1:7" s="214" customFormat="1" ht="13.5" customHeight="1">
      <c r="A46" s="780" t="s">
        <v>349</v>
      </c>
      <c r="B46" s="248" t="s">
        <v>427</v>
      </c>
      <c r="C46" s="249">
        <f>ROUND((C33+C39)*F27,0)</f>
        <v>41</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492</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467</v>
      </c>
      <c r="D51" s="232"/>
      <c r="E51" s="232"/>
      <c r="F51" s="264"/>
      <c r="G51" s="234" t="s">
        <v>37</v>
      </c>
    </row>
    <row r="52" spans="1:7" s="208" customFormat="1" ht="16.5" thickBot="1">
      <c r="A52" s="265" t="s">
        <v>38</v>
      </c>
      <c r="B52" s="266"/>
      <c r="C52" s="267">
        <f ca="1">C31+C51</f>
        <v>26423</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估价结果一览表（市场价值不需“结果表-1”）</v>
      </c>
      <c r="B3" s="3458"/>
      <c r="C3" s="3458"/>
      <c r="D3" s="3458"/>
      <c r="E3" s="3458"/>
    </row>
    <row r="4" spans="1:5" ht="19.5" thickBot="1">
      <c r="A4" s="1493"/>
      <c r="B4" s="3456" t="s">
        <v>917</v>
      </c>
      <c r="C4" s="3456"/>
      <c r="D4" s="3456"/>
      <c r="E4" s="1493"/>
    </row>
    <row r="5" spans="1:5" ht="16.5" thickTop="1">
      <c r="A5" s="1491"/>
      <c r="B5" s="3454" t="s">
        <v>909</v>
      </c>
      <c r="C5" s="1494" t="s">
        <v>910</v>
      </c>
      <c r="D5" s="850">
        <f ca="1">结果表!H101</f>
        <v>2847</v>
      </c>
      <c r="E5" s="1491"/>
    </row>
    <row r="6" spans="1:5" ht="15.75">
      <c r="A6" s="1491"/>
      <c r="B6" s="3454"/>
      <c r="C6" s="1494" t="s">
        <v>911</v>
      </c>
      <c r="D6" s="850" t="str">
        <f ca="1">NUMBERSTRING(INT(D5*10000),2)&amp;"元整"</f>
        <v>贰仟捌佰肆拾柒万元整</v>
      </c>
      <c r="E6" s="1491"/>
    </row>
    <row r="7" spans="1:5" ht="15.75">
      <c r="A7" s="1491"/>
      <c r="B7" s="3459"/>
      <c r="C7" s="1495" t="s">
        <v>912</v>
      </c>
      <c r="D7" s="851">
        <f ca="1">结果表!H102</f>
        <v>25331</v>
      </c>
      <c r="E7" s="1491"/>
    </row>
    <row r="8" spans="1:5" ht="15.75">
      <c r="A8" s="1491"/>
      <c r="B8" s="3460" t="str">
        <f>结果表!E103</f>
        <v>2.估价师知悉的法定优先受偿款</v>
      </c>
      <c r="C8" s="1496" t="s">
        <v>913</v>
      </c>
      <c r="D8" s="851">
        <f>结果表!H103</f>
        <v>0</v>
      </c>
      <c r="E8" s="1491"/>
    </row>
    <row r="9" spans="1:5" ht="15.75">
      <c r="A9" s="1491"/>
      <c r="B9" s="346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3" t="str">
        <f>结果表!E107</f>
        <v>3.房地产抵押价值</v>
      </c>
      <c r="C13" s="1499" t="s">
        <v>910</v>
      </c>
      <c r="D13" s="853">
        <f ca="1">结果表!H107</f>
        <v>2847</v>
      </c>
      <c r="E13" s="1491"/>
    </row>
    <row r="14" spans="1:5" ht="15.75">
      <c r="A14" s="1491"/>
      <c r="B14" s="3454"/>
      <c r="C14" s="1494" t="s">
        <v>911</v>
      </c>
      <c r="D14" s="850" t="str">
        <f ca="1">NUMBERSTRING(INT(D13*10000),2)&amp;"元整"</f>
        <v>贰仟捌佰肆拾柒万元整</v>
      </c>
      <c r="E14" s="1491"/>
    </row>
    <row r="15" spans="1:5" ht="15">
      <c r="A15" s="1491"/>
      <c r="B15" s="3459"/>
      <c r="C15" s="1495" t="s">
        <v>921</v>
      </c>
      <c r="D15" s="859">
        <f ca="1">结果表!H108</f>
        <v>25331</v>
      </c>
      <c r="E15" s="1491"/>
    </row>
    <row r="16" spans="1:5" ht="15">
      <c r="A16" s="1491"/>
      <c r="B16" s="3460" t="str">
        <f>结果表!E109</f>
        <v>——</v>
      </c>
      <c r="C16" s="1499" t="s">
        <v>922</v>
      </c>
      <c r="D16" s="1500" t="str">
        <f>结果表!H109</f>
        <v>——</v>
      </c>
      <c r="E16" s="1491"/>
    </row>
    <row r="17" spans="1:5" ht="15.75">
      <c r="A17" s="1491"/>
      <c r="B17" s="3461"/>
      <c r="C17" s="1494" t="s">
        <v>923</v>
      </c>
      <c r="D17" s="850" t="e">
        <f>NUMBERSTRING(INT(D16*10000),2)&amp;"元整"</f>
        <v>#VALUE!</v>
      </c>
      <c r="E17" s="1491"/>
    </row>
    <row r="18" spans="1:5" ht="15">
      <c r="A18" s="1491"/>
      <c r="B18" s="3462"/>
      <c r="C18" s="1495" t="s">
        <v>912</v>
      </c>
      <c r="D18" s="859" t="str">
        <f>结果表!H110</f>
        <v>——</v>
      </c>
      <c r="E18" s="1491"/>
    </row>
    <row r="19" spans="1:5" ht="15.75">
      <c r="A19" s="1491"/>
      <c r="B19" s="3453" t="str">
        <f>结果表!E111</f>
        <v>4.抵押净值</v>
      </c>
      <c r="C19" s="1499" t="s">
        <v>910</v>
      </c>
      <c r="D19" s="851">
        <f ca="1">结果表!H111</f>
        <v>2846</v>
      </c>
      <c r="E19" s="1491"/>
    </row>
    <row r="20" spans="1:5" ht="15.75">
      <c r="A20" s="1491"/>
      <c r="B20" s="3454"/>
      <c r="C20" s="1494" t="s">
        <v>923</v>
      </c>
      <c r="D20" s="850" t="str">
        <f ca="1">NUMBERSTRING(INT(D19*10000),2)&amp;"元整"</f>
        <v>贰仟捌佰肆拾陆万元整</v>
      </c>
      <c r="E20" s="1491"/>
    </row>
    <row r="21" spans="1:5" ht="15.75" thickBot="1">
      <c r="A21" s="1491"/>
      <c r="B21" s="3455"/>
      <c r="C21" s="1501" t="s">
        <v>921</v>
      </c>
      <c r="D21" s="860">
        <f ca="1">结果表!H112</f>
        <v>25321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68" t="s">
        <v>2823</v>
      </c>
      <c r="B1" s="3768"/>
      <c r="C1" s="3768"/>
      <c r="D1" s="3768"/>
      <c r="E1" s="3768"/>
      <c r="F1" s="3768"/>
      <c r="G1" s="3769"/>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66"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67"/>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70" t="s">
        <v>3165</v>
      </c>
      <c r="B1" s="3770"/>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71" t="s">
        <v>3216</v>
      </c>
      <c r="B1" s="3771"/>
      <c r="C1" s="3771"/>
      <c r="D1" s="3771"/>
      <c r="E1" s="3771"/>
      <c r="F1" s="3772"/>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73" t="s">
        <v>456</v>
      </c>
      <c r="S1" s="3774"/>
      <c r="T1" s="3774"/>
      <c r="U1" s="3774"/>
      <c r="V1" s="3774"/>
      <c r="W1" s="3774"/>
      <c r="X1" s="3140"/>
      <c r="Y1" s="3773" t="s">
        <v>457</v>
      </c>
      <c r="Z1" s="3774"/>
      <c r="AA1" s="3774"/>
      <c r="AB1" s="3774"/>
      <c r="AC1" s="3774"/>
      <c r="AD1" s="3774"/>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73" t="s">
        <v>2808</v>
      </c>
      <c r="S18" s="3774"/>
      <c r="T18" s="3774"/>
      <c r="U18" s="3774"/>
      <c r="V18" s="3774"/>
      <c r="W18" s="3774"/>
      <c r="X18" s="3140"/>
      <c r="Y18" s="3773" t="s">
        <v>2809</v>
      </c>
      <c r="Z18" s="3774"/>
      <c r="AA18" s="3774"/>
      <c r="AB18" s="3774"/>
      <c r="AC18" s="3774"/>
      <c r="AD18" s="3774"/>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0" t="s">
        <v>452</v>
      </c>
      <c r="C1" s="3780"/>
      <c r="D1" s="3780"/>
      <c r="E1" s="3780"/>
      <c r="F1" s="3780"/>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7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7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7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8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78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7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7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8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7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7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7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7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7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7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7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7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7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7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7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7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7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7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7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7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7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7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7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7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7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7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7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7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7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7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7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7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7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7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7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7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7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7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7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7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7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7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7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7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7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7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7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7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7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7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7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7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7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76">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77">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7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7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76">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77">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0" workbookViewId="0">
      <selection activeCell="L18" sqref="L18"/>
    </sheetView>
  </sheetViews>
  <sheetFormatPr defaultRowHeight="13.5"/>
  <sheetData>
    <row r="15" spans="6:14">
      <c r="H15" s="3436">
        <v>0.4</v>
      </c>
      <c r="I15" s="3436">
        <v>0.6</v>
      </c>
    </row>
    <row r="16" spans="6:14">
      <c r="F16" s="3435" t="s">
        <v>3403</v>
      </c>
      <c r="H16" s="3435" t="s">
        <v>3396</v>
      </c>
      <c r="I16" s="3435" t="s">
        <v>3399</v>
      </c>
      <c r="J16" s="3435" t="s">
        <v>3400</v>
      </c>
      <c r="K16" s="3435" t="s">
        <v>3402</v>
      </c>
      <c r="L16" s="3435" t="s">
        <v>3401</v>
      </c>
      <c r="N16" s="3435" t="s">
        <v>3487</v>
      </c>
    </row>
    <row r="17" spans="5:14">
      <c r="E17">
        <f>ROUND(F17*$I$17,0)</f>
        <v>47000</v>
      </c>
      <c r="F17">
        <v>1</v>
      </c>
      <c r="G17">
        <v>1</v>
      </c>
      <c r="H17">
        <v>30313</v>
      </c>
      <c r="I17">
        <v>47000</v>
      </c>
      <c r="J17">
        <f>ROUND(H17*$H$15+I17*$I$15,0)</f>
        <v>40325</v>
      </c>
      <c r="K17">
        <f>'数据-基础表'!H13</f>
        <v>898.61</v>
      </c>
      <c r="L17">
        <f>ROUND(K17*J17/10000,0)</f>
        <v>3624</v>
      </c>
      <c r="N17">
        <v>4367.24</v>
      </c>
    </row>
    <row r="18" spans="5:14">
      <c r="E18">
        <f>ROUND(F18*$I$17,0)</f>
        <v>37600</v>
      </c>
      <c r="F18">
        <v>0.8</v>
      </c>
      <c r="G18">
        <v>2</v>
      </c>
      <c r="H18">
        <v>24215</v>
      </c>
      <c r="I18">
        <v>38000</v>
      </c>
      <c r="J18">
        <f>ROUND(H18*$H$15+I18*$I$15,0)</f>
        <v>32486</v>
      </c>
      <c r="K18">
        <f>'数据-基础表'!H14</f>
        <v>1123.69</v>
      </c>
      <c r="L18">
        <f>ROUND(K18*J18/10000,0)</f>
        <v>3650</v>
      </c>
      <c r="N18">
        <v>4281.26</v>
      </c>
    </row>
    <row r="19" spans="5:14">
      <c r="E19">
        <f>ROUND(F19*$I$17,0)</f>
        <v>28200</v>
      </c>
      <c r="F19">
        <v>0.6</v>
      </c>
      <c r="G19">
        <v>3</v>
      </c>
      <c r="H19">
        <v>21424</v>
      </c>
      <c r="I19">
        <v>27000</v>
      </c>
      <c r="J19">
        <f>ROUND(H19*$H$15+I19*$I$15,0)</f>
        <v>24770</v>
      </c>
      <c r="K19">
        <f>'数据-基础表'!H15</f>
        <v>1123.97</v>
      </c>
      <c r="L19">
        <f>ROUND(K19*J19/10000,0)</f>
        <v>2784</v>
      </c>
      <c r="N19">
        <v>3102.16</v>
      </c>
    </row>
    <row r="20" spans="5:14">
      <c r="E20">
        <f>ROUND(F20*$I$17,0)</f>
        <v>18800</v>
      </c>
      <c r="F20">
        <v>0.4</v>
      </c>
      <c r="G20" s="3435" t="s">
        <v>3397</v>
      </c>
      <c r="H20">
        <v>15374</v>
      </c>
      <c r="I20">
        <v>20000</v>
      </c>
      <c r="J20">
        <f>ROUND(H20*$H$15+I20*$I$15,0)</f>
        <v>18150</v>
      </c>
      <c r="K20">
        <f>'数据-基础表'!H16</f>
        <v>1040.05</v>
      </c>
      <c r="L20">
        <f>ROUND(K20*J20/10000,0)</f>
        <v>1888</v>
      </c>
      <c r="N20">
        <v>2072.56</v>
      </c>
    </row>
    <row r="21" spans="5:14">
      <c r="E21">
        <f>ROUND(F21*$I$17,0)</f>
        <v>18800</v>
      </c>
      <c r="F21">
        <f>F20</f>
        <v>0.4</v>
      </c>
      <c r="G21" s="3435" t="s">
        <v>3398</v>
      </c>
      <c r="H21">
        <f>H20</f>
        <v>15374</v>
      </c>
      <c r="I21">
        <v>20000</v>
      </c>
      <c r="J21">
        <f>ROUND(H21*$H$15+I21*$I$15,0)</f>
        <v>18150</v>
      </c>
      <c r="K21">
        <f>'数据-基础表'!H17</f>
        <v>820.57</v>
      </c>
      <c r="L21">
        <f>ROUND(K21*J21/10000,0)</f>
        <v>1489</v>
      </c>
      <c r="N21">
        <v>1635.19</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3412</v>
      </c>
      <c r="L1" s="3435" t="s">
        <v>3413</v>
      </c>
      <c r="M1" s="3435" t="s">
        <v>3414</v>
      </c>
      <c r="N1" s="3435" t="s">
        <v>3415</v>
      </c>
      <c r="O1" s="3435" t="s">
        <v>3467</v>
      </c>
      <c r="P1" s="3435" t="s">
        <v>3470</v>
      </c>
    </row>
    <row r="2" spans="10:16">
      <c r="J2" s="3435" t="s">
        <v>3409</v>
      </c>
      <c r="K2" s="3435" t="s">
        <v>3466</v>
      </c>
      <c r="L2">
        <v>1200</v>
      </c>
      <c r="M2">
        <v>190.35</v>
      </c>
      <c r="N2">
        <f>ROUND(L2*10000/M2,0)</f>
        <v>63042</v>
      </c>
      <c r="O2">
        <v>2012</v>
      </c>
      <c r="P2">
        <f>ROUND(1-(1-0%)*(2023-O2)/60,2)</f>
        <v>0.82</v>
      </c>
    </row>
    <row r="3" spans="10:16">
      <c r="J3" s="3435" t="s">
        <v>3410</v>
      </c>
      <c r="K3" s="3435" t="s">
        <v>3468</v>
      </c>
      <c r="L3">
        <v>650</v>
      </c>
      <c r="M3">
        <v>104.96</v>
      </c>
      <c r="N3">
        <f>ROUND(L3*10000/M3,0)</f>
        <v>61928</v>
      </c>
      <c r="O3">
        <v>2007</v>
      </c>
      <c r="P3">
        <f>ROUND(1-(1-0%)*(2023-O3)/60,2)</f>
        <v>0.73</v>
      </c>
    </row>
    <row r="4" spans="10:16">
      <c r="J4" s="3435" t="s">
        <v>3411</v>
      </c>
      <c r="K4" s="3435" t="s">
        <v>3469</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估价结果一览表</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房地产市场价值</v>
      </c>
      <c r="I2" s="3471"/>
    </row>
    <row r="3" spans="1:9" ht="15">
      <c r="A3" s="3466"/>
      <c r="B3" s="3466"/>
      <c r="C3" s="3466"/>
      <c r="D3" s="854" t="s">
        <v>925</v>
      </c>
      <c r="E3" s="854" t="s">
        <v>931</v>
      </c>
      <c r="F3" s="854" t="s">
        <v>925</v>
      </c>
      <c r="G3" s="854" t="s">
        <v>926</v>
      </c>
      <c r="H3" s="854" t="s">
        <v>925</v>
      </c>
      <c r="I3" s="854" t="s">
        <v>926</v>
      </c>
    </row>
    <row r="4" spans="1:9" ht="30">
      <c r="A4" s="1505" t="str">
        <f>项目基本情况!S2</f>
        <v>北京市陈庄子路3号院4号楼3层301房地产</v>
      </c>
      <c r="B4" s="854">
        <f>项目基本情况!C17</f>
        <v>1123.97</v>
      </c>
      <c r="C4" s="854">
        <f>项目基本情况!C18</f>
        <v>0</v>
      </c>
      <c r="D4" s="854">
        <f ca="1">结果表!D118</f>
        <v>2218</v>
      </c>
      <c r="E4" s="854">
        <f ca="1">结果表!E118</f>
        <v>19733</v>
      </c>
      <c r="F4" s="854">
        <f ca="1">结果表!F118</f>
        <v>629</v>
      </c>
      <c r="G4" s="854">
        <f ca="1">结果表!G118</f>
        <v>5598</v>
      </c>
      <c r="H4" s="854">
        <f ca="1">结果表!H118</f>
        <v>2847</v>
      </c>
      <c r="I4" s="854">
        <f ca="1">结果表!I118</f>
        <v>25331</v>
      </c>
    </row>
    <row r="5" spans="1:9" ht="30" customHeight="1">
      <c r="A5" s="3466" t="s">
        <v>927</v>
      </c>
      <c r="B5" s="3466"/>
      <c r="C5" s="3466"/>
      <c r="D5" s="3466" t="str">
        <f ca="1">结果表!D119</f>
        <v>贰仟贰佰壹拾捌万元整</v>
      </c>
      <c r="E5" s="3466"/>
      <c r="F5" s="3466" t="str">
        <f ca="1">结果表!F119</f>
        <v>陆佰贰拾玖万元整</v>
      </c>
      <c r="G5" s="3466"/>
      <c r="H5" s="3466" t="str">
        <f ca="1">结果表!H119</f>
        <v>贰仟捌佰肆拾柒万元整</v>
      </c>
      <c r="I5" s="3466"/>
    </row>
    <row r="6" spans="1:9" ht="15.75">
      <c r="A6" s="3465" t="str">
        <f>结果表!A120</f>
        <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
      </c>
      <c r="B8" s="3465"/>
      <c r="C8" s="3465"/>
      <c r="D8" s="3465">
        <f ca="1">结果表!D122</f>
        <v>2847</v>
      </c>
      <c r="E8" s="3465"/>
      <c r="F8" s="3465"/>
      <c r="G8" s="3465"/>
      <c r="H8" s="3465"/>
      <c r="I8" s="3465"/>
    </row>
    <row r="9" spans="1:9" ht="15">
      <c r="A9" s="3466" t="s">
        <v>927</v>
      </c>
      <c r="B9" s="3466"/>
      <c r="C9" s="3466"/>
      <c r="D9" s="3466" t="str">
        <f ca="1">结果表!D123</f>
        <v>贰仟捌佰肆拾柒万元整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f ca="1">结果表!D126</f>
        <v>2846</v>
      </c>
      <c r="E12" s="3465"/>
      <c r="F12" s="3465"/>
      <c r="G12" s="3465"/>
      <c r="H12" s="3465"/>
      <c r="I12" s="3465"/>
    </row>
    <row r="13" spans="1:9" ht="15.75" thickBot="1">
      <c r="A13" s="3463" t="s">
        <v>927</v>
      </c>
      <c r="B13" s="3463"/>
      <c r="C13" s="3463"/>
      <c r="D13" s="3463" t="str">
        <f ca="1">结果表!D127</f>
        <v>贰仟捌佰肆拾陆万元整</v>
      </c>
      <c r="E13" s="3463"/>
      <c r="F13" s="3463"/>
      <c r="G13" s="3463"/>
      <c r="H13" s="3463"/>
      <c r="I13" s="3463"/>
    </row>
    <row r="14" spans="1:9" ht="15" thickTop="1">
      <c r="A14" s="3464" t="s">
        <v>932</v>
      </c>
      <c r="B14" s="3464"/>
      <c r="C14" s="3464"/>
      <c r="D14" s="3464"/>
      <c r="E14" s="3464"/>
      <c r="F14" s="3464"/>
      <c r="G14" s="3464"/>
      <c r="H14" s="3464"/>
      <c r="I14" s="346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8" t="s">
        <v>949</v>
      </c>
      <c r="B1" s="3478"/>
      <c r="C1" s="3478"/>
      <c r="D1" s="3478"/>
    </row>
    <row r="2" spans="1:4" ht="18">
      <c r="A2" s="3479" t="s">
        <v>933</v>
      </c>
      <c r="B2" s="3479"/>
      <c r="C2" s="3479"/>
      <c r="D2" s="3479"/>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9" t="s">
        <v>939</v>
      </c>
      <c r="B6" s="3479"/>
      <c r="C6" s="3479"/>
      <c r="D6" s="347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5"/>
      <c r="C21" s="3475"/>
      <c r="D21" s="3475"/>
    </row>
    <row r="22" spans="1:4" ht="18.75" customHeight="1">
      <c r="A22" s="3476" t="s">
        <v>945</v>
      </c>
      <c r="B22" s="3476"/>
      <c r="C22" s="3476"/>
      <c r="D22" s="347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6" t="s">
        <v>956</v>
      </c>
      <c r="B15" s="3481" t="s">
        <v>109</v>
      </c>
      <c r="C15" s="3482"/>
    </row>
    <row r="16" spans="1:7" ht="13.5">
      <c r="A16" s="3487"/>
      <c r="B16" s="3481" t="s">
        <v>42</v>
      </c>
      <c r="C16" s="3482"/>
    </row>
    <row r="17" spans="1:3" ht="13.5">
      <c r="A17" s="3487"/>
      <c r="B17" s="3484" t="s">
        <v>957</v>
      </c>
      <c r="C17" s="1532" t="s">
        <v>956</v>
      </c>
    </row>
    <row r="18" spans="1:3" ht="13.5">
      <c r="A18" s="3487"/>
      <c r="B18" s="3484"/>
      <c r="C18" s="1532" t="s">
        <v>958</v>
      </c>
    </row>
    <row r="19" spans="1:3" ht="13.5">
      <c r="A19" s="3487"/>
      <c r="B19" s="3484"/>
      <c r="C19" s="1532" t="s">
        <v>959</v>
      </c>
    </row>
    <row r="20" spans="1:3" ht="13.5">
      <c r="A20" s="3488"/>
      <c r="B20" s="3483" t="s">
        <v>960</v>
      </c>
      <c r="C20" s="3482"/>
    </row>
    <row r="21" spans="1:3" ht="13.5">
      <c r="A21" s="1533" t="s">
        <v>961</v>
      </c>
      <c r="B21" s="1534"/>
      <c r="C21" s="1535"/>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2" t="s">
        <v>967</v>
      </c>
    </row>
    <row r="26" spans="1:3" ht="13.5">
      <c r="A26" s="3485"/>
      <c r="B26" s="3484"/>
      <c r="C26" s="1532" t="s">
        <v>968</v>
      </c>
    </row>
    <row r="27" spans="1:3" ht="13.5">
      <c r="A27" s="3485"/>
      <c r="B27" s="3484"/>
      <c r="C27" s="1532" t="s">
        <v>969</v>
      </c>
    </row>
    <row r="28" spans="1:3" ht="13.5">
      <c r="A28" s="3485"/>
      <c r="B28" s="3484"/>
      <c r="C28" s="1532" t="s">
        <v>970</v>
      </c>
    </row>
    <row r="29" spans="1:3" ht="13.5">
      <c r="A29" s="3485"/>
      <c r="B29" s="3484"/>
      <c r="C29" s="1532" t="s">
        <v>971</v>
      </c>
    </row>
    <row r="30" spans="1:3" ht="13.5">
      <c r="A30" s="3485"/>
      <c r="B30" s="3484"/>
      <c r="C30" s="1532" t="s">
        <v>972</v>
      </c>
    </row>
    <row r="31" spans="1:3" ht="13.5">
      <c r="A31" s="3485"/>
      <c r="B31" s="3484"/>
      <c r="C31" s="1532" t="s">
        <v>973</v>
      </c>
    </row>
    <row r="32" spans="1:3" ht="13.5">
      <c r="A32" s="3485"/>
      <c r="B32" s="3484"/>
      <c r="C32" s="1532" t="s">
        <v>974</v>
      </c>
    </row>
    <row r="33" spans="1:3" ht="13.5">
      <c r="A33" s="3485"/>
      <c r="B33" s="348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44938</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89" t="s">
        <v>2142</v>
      </c>
      <c r="B17" s="3489"/>
      <c r="C17" s="3489"/>
      <c r="D17" s="3489"/>
      <c r="E17" s="3489"/>
      <c r="F17" s="3489"/>
      <c r="G17" s="3489"/>
      <c r="H17" s="3489"/>
    </row>
    <row r="18" spans="1:8" ht="24" customHeight="1">
      <c r="A18" s="3490" t="s">
        <v>2143</v>
      </c>
      <c r="B18" s="3490"/>
      <c r="C18" s="3490"/>
      <c r="D18" s="2342"/>
      <c r="E18" s="3491" t="s">
        <v>2144</v>
      </c>
      <c r="F18" s="3490"/>
      <c r="G18" s="3490"/>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2023-01-12T02:29:42Z</dcterms:modified>
</cp:coreProperties>
</file>