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库房" sheetId="81" r:id="rId36"/>
    <sheet name="收益法车库" sheetId="80" r:id="rId37"/>
    <sheet name="成本法" sheetId="68" r:id="rId38"/>
    <sheet name="基准地价修正" sheetId="43"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6">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35">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9" i="1"/>
  <c r="L11" i="1" s="1"/>
  <c r="L10" i="1"/>
  <c r="L8" i="1"/>
  <c r="N14" i="1"/>
  <c r="N11" i="1"/>
  <c r="N10" i="1"/>
  <c r="N9" i="1"/>
  <c r="N8" i="1"/>
  <c r="N7" i="1"/>
  <c r="R25" i="1"/>
  <c r="D38" i="43" l="1"/>
  <c r="G24" i="6"/>
  <c r="Q72" i="81"/>
  <c r="F60" i="81"/>
  <c r="Q59" i="81"/>
  <c r="K59" i="81"/>
  <c r="P74" i="81" s="1"/>
  <c r="Q58" i="81"/>
  <c r="Q51" i="81"/>
  <c r="J50" i="81"/>
  <c r="J51" i="81" s="1"/>
  <c r="M47" i="81"/>
  <c r="D46" i="81"/>
  <c r="F34" i="81"/>
  <c r="F62" i="81" s="1"/>
  <c r="F33" i="81"/>
  <c r="F61" i="81" s="1"/>
  <c r="F32" i="81"/>
  <c r="F28" i="81"/>
  <c r="C28" i="81" s="1"/>
  <c r="F23" i="81"/>
  <c r="F21" i="81"/>
  <c r="M20" i="81"/>
  <c r="F20" i="81"/>
  <c r="M19" i="81"/>
  <c r="M18" i="81"/>
  <c r="F18" i="81"/>
  <c r="F17" i="81"/>
  <c r="F15" i="81"/>
  <c r="G1" i="81"/>
  <c r="D23" i="81" l="1"/>
  <c r="D22" i="81"/>
  <c r="D24" i="81"/>
  <c r="P61" i="81"/>
  <c r="F40" i="81"/>
  <c r="F37" i="81"/>
  <c r="M27" i="81"/>
  <c r="L47" i="81"/>
  <c r="F38" i="81"/>
  <c r="F26" i="81"/>
  <c r="F8" i="81"/>
  <c r="M23" i="81"/>
  <c r="F9" i="81"/>
  <c r="M26" i="81"/>
  <c r="M22" i="81"/>
  <c r="F13" i="81"/>
  <c r="F16" i="81"/>
  <c r="M24" i="81"/>
  <c r="M8" i="81"/>
  <c r="M28" i="81"/>
  <c r="M6" i="81"/>
  <c r="M9" i="81"/>
  <c r="F42" i="81"/>
  <c r="F36" i="81"/>
  <c r="F6" i="81"/>
  <c r="C76" i="81"/>
  <c r="J15" i="81"/>
  <c r="C27" i="81" l="1"/>
  <c r="F64" i="81"/>
  <c r="F66" i="81"/>
  <c r="N59" i="81"/>
  <c r="M59" i="81"/>
  <c r="L59" i="81" s="1"/>
  <c r="Q71" i="81"/>
  <c r="F65" i="81"/>
  <c r="F51" i="81"/>
  <c r="F68" i="81"/>
  <c r="Q61" i="81" l="1"/>
  <c r="Q74" i="81"/>
  <c r="O31" i="1" l="1"/>
  <c r="O30" i="1"/>
  <c r="D39" i="43" l="1"/>
  <c r="D33"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3" i="1"/>
  <c r="O29" i="1"/>
  <c r="Q25" i="1"/>
  <c r="G23" i="6"/>
  <c r="G22" i="6"/>
  <c r="F21" i="6"/>
  <c r="F20" i="6"/>
  <c r="F19" i="6"/>
  <c r="F8" i="78"/>
  <c r="C76" i="80"/>
  <c r="C76" i="77"/>
  <c r="F8" i="80"/>
  <c r="F8" i="77"/>
  <c r="C76" i="79"/>
  <c r="F9" i="80"/>
  <c r="M22" i="77"/>
  <c r="C76" i="78"/>
  <c r="M22" i="80"/>
  <c r="F9" i="77"/>
  <c r="F9" i="78"/>
  <c r="P74" i="77" l="1"/>
  <c r="Q71" i="80"/>
  <c r="F51" i="80"/>
  <c r="Q71" i="79"/>
  <c r="P61" i="79"/>
  <c r="J51" i="79"/>
  <c r="Q71" i="78"/>
  <c r="F51" i="78"/>
  <c r="Q71" i="77"/>
  <c r="F51" i="77"/>
  <c r="AB5" i="71"/>
  <c r="AA5" i="71"/>
  <c r="Y5" i="71"/>
  <c r="X5" i="71"/>
  <c r="F40" i="80"/>
  <c r="F16" i="77"/>
  <c r="F13" i="79"/>
  <c r="M9" i="78"/>
  <c r="M9" i="77"/>
  <c r="F6" i="78"/>
  <c r="F6" i="79"/>
  <c r="M8" i="77"/>
  <c r="M24" i="79"/>
  <c r="F16" i="80"/>
  <c r="M8" i="80"/>
  <c r="F40" i="79"/>
  <c r="M26" i="77"/>
  <c r="J15" i="77"/>
  <c r="M8" i="79"/>
  <c r="F26" i="79"/>
  <c r="M28" i="77"/>
  <c r="F26" i="78"/>
  <c r="F37" i="80"/>
  <c r="M6" i="78"/>
  <c r="F42" i="77"/>
  <c r="M22" i="78"/>
  <c r="F26" i="80"/>
  <c r="F13" i="77"/>
  <c r="F9" i="79"/>
  <c r="M24" i="77"/>
  <c r="F13" i="78"/>
  <c r="M27" i="79"/>
  <c r="M6" i="80"/>
  <c r="M8" i="78"/>
  <c r="M6" i="79"/>
  <c r="M9" i="79"/>
  <c r="M23" i="78"/>
  <c r="J15" i="78"/>
  <c r="F36" i="80"/>
  <c r="F8" i="79"/>
  <c r="M26" i="78"/>
  <c r="F6" i="80"/>
  <c r="M24" i="78"/>
  <c r="F36" i="77"/>
  <c r="M28" i="80"/>
  <c r="M26" i="80"/>
  <c r="F16" i="79"/>
  <c r="F38" i="80"/>
  <c r="F37" i="78"/>
  <c r="M23" i="77"/>
  <c r="F26" i="77"/>
  <c r="M28" i="78"/>
  <c r="M24" i="80"/>
  <c r="F38" i="77"/>
  <c r="F37" i="79"/>
  <c r="F6" i="77"/>
  <c r="J15" i="80"/>
  <c r="M27" i="77"/>
  <c r="M26" i="79"/>
  <c r="M27" i="78"/>
  <c r="F16" i="78"/>
  <c r="M23" i="80"/>
  <c r="F42" i="79"/>
  <c r="F36" i="79"/>
  <c r="M28" i="79"/>
  <c r="F42" i="80"/>
  <c r="F38" i="78"/>
  <c r="M9" i="80"/>
  <c r="F37" i="77"/>
  <c r="F42" i="78"/>
  <c r="F38" i="79"/>
  <c r="F36" i="78"/>
  <c r="F40" i="78"/>
  <c r="F40" i="77"/>
  <c r="M22" i="79"/>
  <c r="M6" i="77"/>
  <c r="J15" i="79"/>
  <c r="M27" i="80"/>
  <c r="F13" i="80"/>
  <c r="M23" i="79"/>
  <c r="F65" i="80" l="1"/>
  <c r="F68" i="80"/>
  <c r="F66" i="80"/>
  <c r="F64" i="80"/>
  <c r="C27" i="80"/>
  <c r="F68" i="79"/>
  <c r="F65" i="79"/>
  <c r="C27" i="79"/>
  <c r="F51" i="79"/>
  <c r="F66" i="79"/>
  <c r="F64" i="79"/>
  <c r="F66" i="78"/>
  <c r="F64" i="78"/>
  <c r="C27" i="78"/>
  <c r="F68" i="78"/>
  <c r="F65" i="78"/>
  <c r="F68" i="77"/>
  <c r="F65" i="77"/>
  <c r="F66" i="77"/>
  <c r="F64" i="77"/>
  <c r="C27" i="77"/>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s="1"/>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D13" i="1"/>
  <c r="D7" i="1"/>
  <c r="D8" i="1"/>
  <c r="A7" i="1"/>
  <c r="A8" i="1"/>
  <c r="B8" i="1"/>
  <c r="E8" i="1" s="1"/>
  <c r="A9" i="1"/>
  <c r="A10" i="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I15" i="4"/>
  <c r="H15" i="4"/>
  <c r="F11" i="1" s="1"/>
  <c r="G15" i="4"/>
  <c r="F10" i="1" s="1"/>
  <c r="G10" i="1" s="1"/>
  <c r="E15" i="4"/>
  <c r="F9"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s="1"/>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L27" i="6" s="1"/>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59" i="40"/>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F7" i="78"/>
  <c r="M29" i="81"/>
  <c r="M29" i="79"/>
  <c r="F7" i="77"/>
  <c r="B9" i="76"/>
  <c r="M28" i="67"/>
  <c r="D6" i="73"/>
  <c r="M27" i="67"/>
  <c r="F6" i="73"/>
  <c r="M22" i="15"/>
  <c r="F6" i="67"/>
  <c r="F6" i="15"/>
  <c r="E8" i="76"/>
  <c r="M9" i="15"/>
  <c r="F7" i="73"/>
  <c r="M27" i="15"/>
  <c r="L47" i="80"/>
  <c r="F40" i="15"/>
  <c r="D34" i="9"/>
  <c r="M23" i="67"/>
  <c r="D5" i="73"/>
  <c r="F36" i="67"/>
  <c r="B12" i="76"/>
  <c r="M9" i="67"/>
  <c r="D2" i="35"/>
  <c r="L48" i="67"/>
  <c r="E9" i="76"/>
  <c r="F43" i="15"/>
  <c r="F41" i="67"/>
  <c r="F31" i="77"/>
  <c r="M29" i="78"/>
  <c r="F7" i="80"/>
  <c r="F43" i="79"/>
  <c r="M29" i="77"/>
  <c r="L47" i="77"/>
  <c r="L48" i="15"/>
  <c r="F5" i="73"/>
  <c r="D2" i="33"/>
  <c r="J15" i="15"/>
  <c r="B13" i="76"/>
  <c r="B7" i="76"/>
  <c r="M21" i="67"/>
  <c r="M8" i="67"/>
  <c r="B11" i="76"/>
  <c r="M26" i="67"/>
  <c r="D3" i="73"/>
  <c r="L47" i="79"/>
  <c r="E13" i="76"/>
  <c r="E2" i="69"/>
  <c r="L47" i="67"/>
  <c r="M23" i="15"/>
  <c r="F26" i="67"/>
  <c r="F42" i="15"/>
  <c r="B8" i="76"/>
  <c r="F16" i="67"/>
  <c r="F31" i="80"/>
  <c r="F43" i="78"/>
  <c r="F43" i="80"/>
  <c r="F43" i="81"/>
  <c r="F43" i="77"/>
  <c r="L48" i="80"/>
  <c r="D2" i="36"/>
  <c r="F36" i="15"/>
  <c r="J15" i="67"/>
  <c r="C76" i="15"/>
  <c r="M6" i="67"/>
  <c r="F4" i="73"/>
  <c r="C76" i="67"/>
  <c r="F26" i="15"/>
  <c r="M28" i="15"/>
  <c r="M24" i="67"/>
  <c r="E10" i="76"/>
  <c r="E2" i="68"/>
  <c r="F37" i="15"/>
  <c r="M29" i="67"/>
  <c r="M8" i="15"/>
  <c r="D7" i="73"/>
  <c r="F7" i="15"/>
  <c r="F13" i="15"/>
  <c r="F7" i="67"/>
  <c r="L48" i="77"/>
  <c r="F8" i="15"/>
  <c r="L47" i="15"/>
  <c r="E11" i="76"/>
  <c r="M6" i="15"/>
  <c r="F31" i="78"/>
  <c r="L48" i="81"/>
  <c r="M29" i="80"/>
  <c r="F7" i="81"/>
  <c r="F7" i="79"/>
  <c r="L47" i="78"/>
  <c r="AO12" i="1"/>
  <c r="M24" i="15"/>
  <c r="E7" i="76"/>
  <c r="D2" i="34"/>
  <c r="D4" i="73"/>
  <c r="B10" i="76"/>
  <c r="F20" i="31"/>
  <c r="F40" i="67"/>
  <c r="D35" i="9"/>
  <c r="F35" i="67"/>
  <c r="F9" i="67"/>
  <c r="M22" i="67"/>
  <c r="L48" i="79"/>
  <c r="E12" i="76"/>
  <c r="F38" i="67"/>
  <c r="AO13" i="1"/>
  <c r="F16" i="15"/>
  <c r="F43" i="67"/>
  <c r="F3" i="73"/>
  <c r="D2" i="21"/>
  <c r="F42" i="67"/>
  <c r="M26" i="15"/>
  <c r="D2" i="37"/>
  <c r="F9" i="15"/>
  <c r="F8" i="67"/>
  <c r="M29" i="15"/>
  <c r="F38" i="15"/>
  <c r="F13" i="67"/>
  <c r="F37" i="67"/>
  <c r="E10" i="43" l="1"/>
  <c r="E8" i="43"/>
  <c r="C7" i="43" s="1"/>
  <c r="E11" i="43"/>
  <c r="E9" i="43"/>
  <c r="L58" i="81"/>
  <c r="L57" i="81"/>
  <c r="J53" i="81"/>
  <c r="L60" i="81"/>
  <c r="J57" i="81"/>
  <c r="J55" i="81" s="1"/>
  <c r="J58" i="81" s="1"/>
  <c r="Q50" i="81" s="1"/>
  <c r="L56" i="81"/>
  <c r="I54" i="81"/>
  <c r="J60" i="81"/>
  <c r="Q48" i="81" s="1"/>
  <c r="J59" i="81"/>
  <c r="L46" i="81"/>
  <c r="G11" i="1"/>
  <c r="M7" i="77"/>
  <c r="F50" i="77"/>
  <c r="C6" i="77"/>
  <c r="F71" i="77"/>
  <c r="F50" i="79"/>
  <c r="C6" i="79"/>
  <c r="M7" i="79"/>
  <c r="F71" i="79"/>
  <c r="F71" i="81"/>
  <c r="C6" i="81"/>
  <c r="F50" i="81"/>
  <c r="M7" i="81"/>
  <c r="F50" i="80"/>
  <c r="M7" i="80"/>
  <c r="C6" i="80"/>
  <c r="F71" i="80"/>
  <c r="M7" i="78"/>
  <c r="F50" i="78"/>
  <c r="C6" i="78"/>
  <c r="F71" i="78"/>
  <c r="M7" i="1"/>
  <c r="M9" i="1"/>
  <c r="G28" i="6"/>
  <c r="M10" i="1"/>
  <c r="M8" i="1"/>
  <c r="J57" i="79"/>
  <c r="J55" i="79" s="1"/>
  <c r="J58" i="79" s="1"/>
  <c r="Q50" i="79" s="1"/>
  <c r="I54" i="79"/>
  <c r="J53" i="79"/>
  <c r="L56" i="79"/>
  <c r="L58" i="77"/>
  <c r="N59" i="77"/>
  <c r="M59" i="77"/>
  <c r="L59" i="77" s="1"/>
  <c r="N59" i="80"/>
  <c r="M59" i="80"/>
  <c r="L59" i="80" s="1"/>
  <c r="L58" i="80"/>
  <c r="J53" i="80"/>
  <c r="I54" i="80"/>
  <c r="L56" i="80"/>
  <c r="J57" i="80"/>
  <c r="J55" i="80" s="1"/>
  <c r="J58" i="80" s="1"/>
  <c r="Q50" i="80" s="1"/>
  <c r="J57" i="77"/>
  <c r="J55" i="77" s="1"/>
  <c r="J58" i="77" s="1"/>
  <c r="Q50" i="77" s="1"/>
  <c r="J53" i="77"/>
  <c r="I54" i="77"/>
  <c r="N59" i="78"/>
  <c r="M59" i="78"/>
  <c r="L59" i="78" s="1"/>
  <c r="N59" i="79"/>
  <c r="M59" i="79"/>
  <c r="L59" i="79" s="1"/>
  <c r="L58" i="79"/>
  <c r="G9" i="1"/>
  <c r="F8" i="1"/>
  <c r="G7" i="1"/>
  <c r="M100" i="43"/>
  <c r="I100" i="43"/>
  <c r="E100" i="43"/>
  <c r="D100" i="43"/>
  <c r="H52" i="43"/>
  <c r="H49" i="43"/>
  <c r="H54" i="43"/>
  <c r="H51" i="43"/>
  <c r="H50" i="43"/>
  <c r="H48" i="43"/>
  <c r="H53" i="43"/>
  <c r="H55" i="43"/>
  <c r="H56" i="43"/>
  <c r="J53" i="15"/>
  <c r="Q52" i="15" s="1"/>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D29" i="43" s="1"/>
  <c r="D1" i="43"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I1" i="73"/>
  <c r="B39" i="1" s="1"/>
  <c r="C27" i="15"/>
  <c r="F51" i="15"/>
  <c r="F64" i="15"/>
  <c r="I54" i="67"/>
  <c r="J57" i="67"/>
  <c r="J55" i="67" s="1"/>
  <c r="J58" i="67" s="1"/>
  <c r="Q50" i="67" s="1"/>
  <c r="L56" i="67"/>
  <c r="C27" i="67"/>
  <c r="B12" i="70"/>
  <c r="K1" i="73"/>
  <c r="F31" i="79"/>
  <c r="F59" i="81"/>
  <c r="M17" i="81"/>
  <c r="F31" i="67"/>
  <c r="M17" i="77"/>
  <c r="F59" i="80"/>
  <c r="F59" i="77"/>
  <c r="C16" i="79"/>
  <c r="L48" i="78"/>
  <c r="C16" i="15"/>
  <c r="C17" i="67"/>
  <c r="M17" i="78"/>
  <c r="F59" i="67"/>
  <c r="F59" i="15"/>
  <c r="F31" i="15"/>
  <c r="C16" i="67"/>
  <c r="F31" i="81"/>
  <c r="F59" i="79"/>
  <c r="C16" i="78"/>
  <c r="C16" i="80"/>
  <c r="M17" i="15"/>
  <c r="M17" i="79"/>
  <c r="C16" i="77"/>
  <c r="M17" i="80"/>
  <c r="C16" i="81"/>
  <c r="M17" i="67"/>
  <c r="G1" i="73"/>
  <c r="F59" i="78"/>
  <c r="C14" i="67"/>
  <c r="Q66" i="81" l="1"/>
  <c r="Q57" i="81"/>
  <c r="F1" i="81"/>
  <c r="Q52" i="81"/>
  <c r="Q73" i="81"/>
  <c r="Q60" i="81"/>
  <c r="O10" i="1"/>
  <c r="P10" i="1" s="1"/>
  <c r="C49" i="78"/>
  <c r="J6" i="80"/>
  <c r="J6" i="81"/>
  <c r="C49" i="77"/>
  <c r="J6" i="78"/>
  <c r="C49" i="80"/>
  <c r="C49" i="81"/>
  <c r="J6" i="79"/>
  <c r="C49" i="79"/>
  <c r="J6" i="77"/>
  <c r="F11" i="81"/>
  <c r="M11" i="81"/>
  <c r="J53" i="78"/>
  <c r="L56" i="78"/>
  <c r="I54" i="78"/>
  <c r="J57" i="78"/>
  <c r="J55" i="78" s="1"/>
  <c r="J58" i="78" s="1"/>
  <c r="Q50" i="78" s="1"/>
  <c r="L58" i="78"/>
  <c r="Q61" i="79"/>
  <c r="Q74" i="79"/>
  <c r="Q61" i="78"/>
  <c r="Q74" i="78"/>
  <c r="L56" i="77"/>
  <c r="Q52" i="77"/>
  <c r="F1" i="77"/>
  <c r="Q73" i="80"/>
  <c r="Q60" i="80"/>
  <c r="G8" i="1"/>
  <c r="I20" i="43"/>
  <c r="Q60" i="79"/>
  <c r="Q73" i="79"/>
  <c r="Q52" i="80"/>
  <c r="F1" i="80"/>
  <c r="Q74" i="80"/>
  <c r="Q61" i="80"/>
  <c r="Q74" i="77"/>
  <c r="Q61" i="77"/>
  <c r="Q60" i="77"/>
  <c r="Q73" i="77"/>
  <c r="Q52" i="79"/>
  <c r="F1" i="79"/>
  <c r="F1" i="15"/>
  <c r="F11" i="80"/>
  <c r="M11" i="80"/>
  <c r="F11" i="79"/>
  <c r="M11" i="79"/>
  <c r="G17" i="43"/>
  <c r="C16" i="43" s="1"/>
  <c r="D5" i="43" s="1"/>
  <c r="F11" i="78"/>
  <c r="M11" i="78"/>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H6" i="3"/>
  <c r="AC6" i="3"/>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F24" i="81" s="1"/>
  <c r="C18" i="67"/>
  <c r="C15" i="67"/>
  <c r="M11" i="15"/>
  <c r="J10" i="15" s="1"/>
  <c r="J5" i="15" s="1"/>
  <c r="F11" i="67"/>
  <c r="F11" i="15"/>
  <c r="M11" i="67"/>
  <c r="J10" i="67" s="1"/>
  <c r="J5" i="67" s="1"/>
  <c r="Q73" i="67"/>
  <c r="Q60" i="67"/>
  <c r="P28" i="43"/>
  <c r="M28" i="43"/>
  <c r="G20" i="43" s="1"/>
  <c r="N28" i="43"/>
  <c r="O28" i="43"/>
  <c r="Q60" i="15"/>
  <c r="Q73" i="15"/>
  <c r="Q74" i="15"/>
  <c r="Q61" i="15"/>
  <c r="Q61" i="67"/>
  <c r="Q74" i="67"/>
  <c r="AE9" i="1"/>
  <c r="AE7" i="1"/>
  <c r="AE11" i="1"/>
  <c r="AE10" i="1"/>
  <c r="AE6" i="1"/>
  <c r="G41" i="43" l="1"/>
  <c r="J10" i="78"/>
  <c r="J5" i="78" s="1"/>
  <c r="J26" i="78" s="1"/>
  <c r="J10" i="81"/>
  <c r="J5" i="81" s="1"/>
  <c r="J26" i="81" s="1"/>
  <c r="J10" i="79"/>
  <c r="J5" i="79" s="1"/>
  <c r="J24" i="79" s="1"/>
  <c r="J10" i="80"/>
  <c r="J5" i="80" s="1"/>
  <c r="J26" i="80" s="1"/>
  <c r="C24" i="81"/>
  <c r="C53" i="81"/>
  <c r="C48" i="81" s="1"/>
  <c r="C10" i="81"/>
  <c r="C5" i="81" s="1"/>
  <c r="Q73" i="78"/>
  <c r="Q60" i="78"/>
  <c r="F1" i="78"/>
  <c r="Q52" i="78"/>
  <c r="C5" i="43"/>
  <c r="E41" i="43"/>
  <c r="C20" i="43"/>
  <c r="F24" i="79"/>
  <c r="F24" i="80"/>
  <c r="C53" i="80"/>
  <c r="C48" i="80" s="1"/>
  <c r="C10" i="80"/>
  <c r="C5" i="80" s="1"/>
  <c r="C53" i="79"/>
  <c r="C48" i="79" s="1"/>
  <c r="C10" i="79"/>
  <c r="C5" i="79" s="1"/>
  <c r="F24" i="77"/>
  <c r="F24" i="78"/>
  <c r="C53" i="78"/>
  <c r="C48" i="78" s="1"/>
  <c r="C10" i="78"/>
  <c r="C5" i="78" s="1"/>
  <c r="J26" i="77"/>
  <c r="J24" i="77"/>
  <c r="J18" i="77"/>
  <c r="C53" i="77"/>
  <c r="C48" i="77" s="1"/>
  <c r="C10" i="77"/>
  <c r="C5" i="77" s="1"/>
  <c r="M21" i="6"/>
  <c r="I21" i="6" s="1"/>
  <c r="S21" i="6" s="1"/>
  <c r="S8" i="1"/>
  <c r="K26" i="6"/>
  <c r="M26" i="6" s="1"/>
  <c r="I26" i="6" s="1"/>
  <c r="S26" i="6" s="1"/>
  <c r="K25" i="6"/>
  <c r="M25" i="6" s="1"/>
  <c r="I25" i="6" s="1"/>
  <c r="S25" i="6" s="1"/>
  <c r="K22" i="6"/>
  <c r="K19" i="6"/>
  <c r="K23" i="6"/>
  <c r="E31" i="6"/>
  <c r="K20" i="6"/>
  <c r="K24" i="6"/>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E8" i="1"/>
  <c r="F41" i="77"/>
  <c r="F41" i="15"/>
  <c r="C17" i="78"/>
  <c r="F41" i="81"/>
  <c r="F41" i="80"/>
  <c r="F41" i="79"/>
  <c r="F69" i="81" l="1"/>
  <c r="J29" i="81"/>
  <c r="J24" i="78"/>
  <c r="J18" i="78"/>
  <c r="J24" i="80"/>
  <c r="J18" i="81"/>
  <c r="J18" i="80"/>
  <c r="J24" i="81"/>
  <c r="M24" i="6"/>
  <c r="I24" i="6" s="1"/>
  <c r="S24" i="6" s="1"/>
  <c r="S11" i="1"/>
  <c r="J18" i="79"/>
  <c r="J26" i="79"/>
  <c r="E8" i="70"/>
  <c r="C66" i="81"/>
  <c r="C60" i="81"/>
  <c r="C38" i="81"/>
  <c r="C33" i="81"/>
  <c r="C32" i="81"/>
  <c r="F69" i="79"/>
  <c r="F69" i="77"/>
  <c r="F69" i="80"/>
  <c r="J29" i="80"/>
  <c r="J29" i="77"/>
  <c r="J29" i="79"/>
  <c r="F69" i="15"/>
  <c r="J29" i="15"/>
  <c r="C41" i="43"/>
  <c r="C38" i="43" s="1"/>
  <c r="H6" i="1"/>
  <c r="C24" i="79"/>
  <c r="C38" i="80"/>
  <c r="C32" i="80"/>
  <c r="C24" i="80"/>
  <c r="C66" i="80"/>
  <c r="C60" i="80"/>
  <c r="C38" i="79"/>
  <c r="C32" i="79"/>
  <c r="C66" i="79"/>
  <c r="C60" i="79"/>
  <c r="C24" i="77"/>
  <c r="C66" i="78"/>
  <c r="C60" i="78"/>
  <c r="C38" i="78"/>
  <c r="C32" i="78"/>
  <c r="C24" i="78"/>
  <c r="C38" i="77"/>
  <c r="C32" i="77"/>
  <c r="C66" i="77"/>
  <c r="C60" i="77"/>
  <c r="H21" i="6"/>
  <c r="R21" i="6" s="1"/>
  <c r="R8" i="1" s="1"/>
  <c r="K27" i="6"/>
  <c r="M20" i="6"/>
  <c r="I20" i="6" s="1"/>
  <c r="H20" i="6" s="1"/>
  <c r="R20" i="6" s="1"/>
  <c r="R7" i="1" s="1"/>
  <c r="S7" i="1"/>
  <c r="M23" i="6"/>
  <c r="I23" i="6" s="1"/>
  <c r="S10" i="1"/>
  <c r="M22" i="6"/>
  <c r="I22" i="6" s="1"/>
  <c r="S9" i="1"/>
  <c r="AQ8" i="1"/>
  <c r="AR8" i="1"/>
  <c r="T8" i="1"/>
  <c r="M19" i="6"/>
  <c r="S6" i="1"/>
  <c r="D16" i="6"/>
  <c r="D30" i="6"/>
  <c r="D31" i="6" s="1"/>
  <c r="D27" i="6"/>
  <c r="S20" i="6"/>
  <c r="H24" i="6"/>
  <c r="R24" i="6" s="1"/>
  <c r="R11" i="1"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81"/>
  <c r="F41" i="78"/>
  <c r="C17" i="15"/>
  <c r="C17" i="79"/>
  <c r="F35" i="78"/>
  <c r="C17" i="80"/>
  <c r="C14" i="78"/>
  <c r="M21" i="77"/>
  <c r="M21" i="78"/>
  <c r="C17" i="77"/>
  <c r="F35" i="77"/>
  <c r="AQ11" i="1" l="1"/>
  <c r="T11" i="1"/>
  <c r="AR11" i="1"/>
  <c r="C15" i="78"/>
  <c r="C18" i="78"/>
  <c r="M27" i="6"/>
  <c r="E9" i="70"/>
  <c r="E10" i="70"/>
  <c r="E7" i="70"/>
  <c r="E6" i="70"/>
  <c r="J29" i="78"/>
  <c r="F69" i="78"/>
  <c r="G6" i="1"/>
  <c r="G16" i="1" s="1"/>
  <c r="H16" i="1"/>
  <c r="J20" i="78"/>
  <c r="C34" i="78"/>
  <c r="F63" i="78"/>
  <c r="C62" i="78" s="1"/>
  <c r="F63" i="77"/>
  <c r="C62" i="77" s="1"/>
  <c r="C34" i="77"/>
  <c r="J20" i="77"/>
  <c r="C33" i="79"/>
  <c r="J59" i="79"/>
  <c r="J60" i="79" s="1"/>
  <c r="C33" i="77"/>
  <c r="C31" i="77" s="1"/>
  <c r="J59" i="77"/>
  <c r="J60" i="77" s="1"/>
  <c r="F34" i="11"/>
  <c r="F34" i="68"/>
  <c r="C36" i="68" s="1"/>
  <c r="F11" i="12"/>
  <c r="AR9" i="1"/>
  <c r="AQ9" i="1"/>
  <c r="T9" i="1"/>
  <c r="AQ10" i="1"/>
  <c r="T10" i="1"/>
  <c r="AR10" i="1"/>
  <c r="AQ7" i="1"/>
  <c r="AR7" i="1"/>
  <c r="T7" i="1"/>
  <c r="AQ6" i="1"/>
  <c r="S16" i="1"/>
  <c r="AR6" i="1"/>
  <c r="T6" i="1"/>
  <c r="S22" i="6"/>
  <c r="H22" i="6"/>
  <c r="R22" i="6" s="1"/>
  <c r="R9" i="1" s="1"/>
  <c r="S23" i="6"/>
  <c r="H23" i="6"/>
  <c r="R23" i="6" s="1"/>
  <c r="R10" i="1" s="1"/>
  <c r="F50" i="11"/>
  <c r="F50" i="69"/>
  <c r="F50" i="68"/>
  <c r="P14" i="1"/>
  <c r="P16" i="1" s="1"/>
  <c r="C11" i="12" s="1"/>
  <c r="O16" i="1"/>
  <c r="L16" i="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C14" i="77"/>
  <c r="M21" i="80"/>
  <c r="C14" i="81"/>
  <c r="M21" i="81"/>
  <c r="M21" i="79"/>
  <c r="F35" i="81"/>
  <c r="C14" i="79"/>
  <c r="F35" i="80"/>
  <c r="F35" i="79"/>
  <c r="C14" i="80"/>
  <c r="C14" i="15"/>
  <c r="C19" i="78" l="1"/>
  <c r="C20" i="78" s="1"/>
  <c r="C26" i="78" s="1"/>
  <c r="C34" i="68"/>
  <c r="C35" i="68" s="1"/>
  <c r="E2" i="70"/>
  <c r="C15" i="15"/>
  <c r="C18" i="15"/>
  <c r="C18" i="77"/>
  <c r="C15" i="77"/>
  <c r="C15" i="80"/>
  <c r="C18" i="80"/>
  <c r="C18" i="81"/>
  <c r="C15" i="81"/>
  <c r="C18" i="79"/>
  <c r="C15" i="79"/>
  <c r="C34" i="11"/>
  <c r="C35" i="11" s="1"/>
  <c r="T16" i="1"/>
  <c r="F63" i="81"/>
  <c r="C62" i="81" s="1"/>
  <c r="C34" i="81"/>
  <c r="C31" i="81" s="1"/>
  <c r="J20" i="81"/>
  <c r="F10" i="40"/>
  <c r="H10" i="39"/>
  <c r="J10" i="40"/>
  <c r="F10" i="39"/>
  <c r="J10" i="39"/>
  <c r="H10" i="40"/>
  <c r="C34" i="80"/>
  <c r="F63" i="80"/>
  <c r="C62" i="80" s="1"/>
  <c r="J20" i="80"/>
  <c r="F63" i="79"/>
  <c r="C62" i="79" s="1"/>
  <c r="C34" i="79"/>
  <c r="C31" i="79" s="1"/>
  <c r="J20" i="79"/>
  <c r="C33" i="78"/>
  <c r="C31" i="78" s="1"/>
  <c r="J59" i="78"/>
  <c r="J60" i="78" s="1"/>
  <c r="L46" i="78" s="1"/>
  <c r="C33" i="80"/>
  <c r="J59" i="80"/>
  <c r="J60" i="80" s="1"/>
  <c r="Q48" i="79"/>
  <c r="L46" i="79"/>
  <c r="Q48" i="77"/>
  <c r="C14" i="12"/>
  <c r="C36" i="11"/>
  <c r="C37" i="11"/>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C61" i="67"/>
  <c r="C59" i="67" s="1"/>
  <c r="C64" i="67"/>
  <c r="B6" i="76"/>
  <c r="E6" i="76"/>
  <c r="C38" i="11" l="1"/>
  <c r="C38" i="68"/>
  <c r="C33" i="68" s="1"/>
  <c r="C42" i="68" s="1"/>
  <c r="C19" i="80"/>
  <c r="C20" i="80" s="1"/>
  <c r="C26" i="80" s="1"/>
  <c r="C19" i="15"/>
  <c r="C20" i="15" s="1"/>
  <c r="C26" i="15" s="1"/>
  <c r="C19" i="79"/>
  <c r="C20" i="79" s="1"/>
  <c r="C19" i="81"/>
  <c r="C20" i="81" s="1"/>
  <c r="C26" i="81" s="1"/>
  <c r="C19" i="77"/>
  <c r="C20" i="77" s="1"/>
  <c r="C26" i="77" s="1"/>
  <c r="C23" i="78"/>
  <c r="C29" i="78" s="1"/>
  <c r="AB10" i="40"/>
  <c r="U10" i="40"/>
  <c r="S10" i="39"/>
  <c r="AA10" i="39"/>
  <c r="AB10" i="39"/>
  <c r="U10" i="39"/>
  <c r="AC10" i="39"/>
  <c r="W10" i="39"/>
  <c r="AC10" i="40"/>
  <c r="W10" i="40"/>
  <c r="AA10" i="40"/>
  <c r="S10" i="40"/>
  <c r="C31" i="80"/>
  <c r="Q48" i="78"/>
  <c r="Q48" i="80"/>
  <c r="L46" i="80"/>
  <c r="C33" i="11"/>
  <c r="C39" i="11" s="1"/>
  <c r="C16" i="12"/>
  <c r="C21" i="12" s="1"/>
  <c r="C22" i="12" s="1"/>
  <c r="R27" i="6"/>
  <c r="R6" i="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L51" i="67"/>
  <c r="F35" i="15"/>
  <c r="M21" i="15"/>
  <c r="C42" i="11" l="1"/>
  <c r="C26" i="79"/>
  <c r="C23" i="79"/>
  <c r="C23" i="15"/>
  <c r="C29" i="15" s="1"/>
  <c r="Q49" i="15" s="1"/>
  <c r="C23" i="81"/>
  <c r="C29" i="81" s="1"/>
  <c r="C36" i="81" s="1"/>
  <c r="C23" i="80"/>
  <c r="C29" i="80" s="1"/>
  <c r="C23" i="77"/>
  <c r="C29" i="77" s="1"/>
  <c r="J19" i="15"/>
  <c r="C36" i="78"/>
  <c r="C13" i="78"/>
  <c r="J14" i="78"/>
  <c r="C57" i="78"/>
  <c r="J19" i="78"/>
  <c r="J17" i="78" s="1"/>
  <c r="Q49" i="78"/>
  <c r="J20" i="15"/>
  <c r="F63" i="15"/>
  <c r="C62" i="15" s="1"/>
  <c r="C34" i="15"/>
  <c r="C31" i="15" s="1"/>
  <c r="R16" i="1"/>
  <c r="L57" i="79"/>
  <c r="L60" i="79" s="1"/>
  <c r="L57" i="78"/>
  <c r="L60" i="78" s="1"/>
  <c r="L57" i="77"/>
  <c r="L60" i="77" s="1"/>
  <c r="L46" i="77" s="1"/>
  <c r="C28" i="69"/>
  <c r="C27" i="69" s="1"/>
  <c r="C39" i="68"/>
  <c r="C43" i="68" s="1"/>
  <c r="C41" i="68" s="1"/>
  <c r="C22" i="69"/>
  <c r="C22" i="68"/>
  <c r="C43" i="1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J14" i="81" l="1"/>
  <c r="J13" i="81" s="1"/>
  <c r="J23" i="81" s="1"/>
  <c r="Q49" i="81"/>
  <c r="C57" i="81"/>
  <c r="C64" i="81" s="1"/>
  <c r="C41" i="11"/>
  <c r="C49" i="11" s="1"/>
  <c r="C51" i="11" s="1"/>
  <c r="J19" i="81"/>
  <c r="J17" i="81" s="1"/>
  <c r="C13" i="81"/>
  <c r="C75" i="81" s="1"/>
  <c r="C57" i="15"/>
  <c r="C64" i="15" s="1"/>
  <c r="C36" i="15"/>
  <c r="C29" i="79"/>
  <c r="C13" i="15"/>
  <c r="C56" i="15" s="1"/>
  <c r="C65" i="15" s="1"/>
  <c r="J14" i="15"/>
  <c r="J13" i="15" s="1"/>
  <c r="J23" i="15" s="1"/>
  <c r="J13" i="78"/>
  <c r="J23" i="78" s="1"/>
  <c r="J22" i="78"/>
  <c r="C57" i="80"/>
  <c r="J19" i="80"/>
  <c r="J17" i="80" s="1"/>
  <c r="Q49" i="80"/>
  <c r="C13" i="80"/>
  <c r="C36" i="80"/>
  <c r="J14" i="80"/>
  <c r="J17" i="15"/>
  <c r="C61" i="78"/>
  <c r="C59" i="78" s="1"/>
  <c r="C64" i="78"/>
  <c r="C75" i="78"/>
  <c r="Q70" i="78"/>
  <c r="C56" i="78"/>
  <c r="C65" i="78" s="1"/>
  <c r="C37" i="78"/>
  <c r="C30" i="78" s="1"/>
  <c r="C39" i="78" s="1"/>
  <c r="C57" i="77"/>
  <c r="J14" i="77"/>
  <c r="C13" i="77"/>
  <c r="C36" i="77"/>
  <c r="Q49" i="77"/>
  <c r="J19" i="77"/>
  <c r="J17" i="77" s="1"/>
  <c r="C46" i="68"/>
  <c r="C45" i="68" s="1"/>
  <c r="C49" i="68" s="1"/>
  <c r="C51" i="68" s="1"/>
  <c r="L57" i="15"/>
  <c r="L60" i="15" s="1"/>
  <c r="L46" i="15" s="1"/>
  <c r="L57" i="80"/>
  <c r="L60" i="80" s="1"/>
  <c r="Q66" i="79"/>
  <c r="Q57" i="79"/>
  <c r="Q66" i="78"/>
  <c r="Q57" i="78"/>
  <c r="Q66" i="77"/>
  <c r="Q57" i="77"/>
  <c r="C31" i="68"/>
  <c r="C49" i="69"/>
  <c r="C51" i="69" s="1"/>
  <c r="L68" i="39"/>
  <c r="K70" i="39"/>
  <c r="Q66" i="67"/>
  <c r="Q75" i="67" s="1"/>
  <c r="Q57" i="67"/>
  <c r="Q62" i="67" s="1"/>
  <c r="B2" i="67"/>
  <c r="B3" i="67"/>
  <c r="L51" i="78"/>
  <c r="Q70" i="81" l="1"/>
  <c r="C75" i="15"/>
  <c r="J22" i="15"/>
  <c r="C37" i="81"/>
  <c r="C30" i="81" s="1"/>
  <c r="C39" i="81" s="1"/>
  <c r="Q69" i="81" s="1"/>
  <c r="Q70" i="15"/>
  <c r="C56" i="81"/>
  <c r="C65" i="81" s="1"/>
  <c r="C37" i="15"/>
  <c r="C30" i="15" s="1"/>
  <c r="C39" i="15" s="1"/>
  <c r="C61" i="81"/>
  <c r="C59" i="81" s="1"/>
  <c r="J22" i="81"/>
  <c r="J16" i="81" s="1"/>
  <c r="J25" i="81" s="1"/>
  <c r="C58" i="78"/>
  <c r="C67" i="78" s="1"/>
  <c r="C68" i="78" s="1"/>
  <c r="C71" i="78" s="1"/>
  <c r="C61" i="15"/>
  <c r="C59" i="15" s="1"/>
  <c r="C58" i="15" s="1"/>
  <c r="C67" i="15" s="1"/>
  <c r="C68" i="15" s="1"/>
  <c r="C71" i="15" s="1"/>
  <c r="C80" i="81"/>
  <c r="C79" i="81" s="1"/>
  <c r="C57" i="79"/>
  <c r="C13" i="79"/>
  <c r="J14" i="79"/>
  <c r="J19" i="79"/>
  <c r="J17" i="79" s="1"/>
  <c r="C36" i="79"/>
  <c r="Q49" i="79"/>
  <c r="C80" i="78"/>
  <c r="C79" i="78" s="1"/>
  <c r="Q67" i="78"/>
  <c r="C40" i="15"/>
  <c r="B2" i="15" s="1"/>
  <c r="C40" i="81"/>
  <c r="J13" i="77"/>
  <c r="J23" i="77" s="1"/>
  <c r="J22" i="77"/>
  <c r="Q69" i="78"/>
  <c r="Q68" i="78" s="1"/>
  <c r="C40" i="78"/>
  <c r="J16" i="15"/>
  <c r="J25" i="15" s="1"/>
  <c r="J13" i="80"/>
  <c r="J23" i="80" s="1"/>
  <c r="J22" i="80"/>
  <c r="Q70" i="80"/>
  <c r="C56" i="80"/>
  <c r="C65" i="80" s="1"/>
  <c r="C75" i="80"/>
  <c r="C37" i="80"/>
  <c r="C30" i="80" s="1"/>
  <c r="C39" i="80" s="1"/>
  <c r="J16" i="78"/>
  <c r="J25" i="78" s="1"/>
  <c r="C75" i="77"/>
  <c r="C37" i="77"/>
  <c r="C30" i="77" s="1"/>
  <c r="C39" i="77" s="1"/>
  <c r="Q70" i="77"/>
  <c r="C56" i="77"/>
  <c r="C65" i="77" s="1"/>
  <c r="C64" i="77"/>
  <c r="C61" i="77"/>
  <c r="C59" i="77" s="1"/>
  <c r="C61" i="80"/>
  <c r="C59" i="80" s="1"/>
  <c r="C64" i="80"/>
  <c r="Q57" i="15"/>
  <c r="Q66" i="15"/>
  <c r="Q66" i="80"/>
  <c r="Q57" i="80"/>
  <c r="C52" i="68"/>
  <c r="B2" i="68" s="1"/>
  <c r="C52" i="11"/>
  <c r="B2" i="11" s="1"/>
  <c r="B3" i="11" s="1"/>
  <c r="C52" i="69"/>
  <c r="B2" i="69" s="1"/>
  <c r="B3" i="69" s="1"/>
  <c r="M68" i="39"/>
  <c r="L70" i="39"/>
  <c r="L51" i="80"/>
  <c r="C19" i="9"/>
  <c r="L51" i="77"/>
  <c r="L51" i="81"/>
  <c r="AO6" i="1"/>
  <c r="L51" i="15"/>
  <c r="Q68" i="81" l="1"/>
  <c r="C80" i="15"/>
  <c r="C79" i="15" s="1"/>
  <c r="Q67" i="81"/>
  <c r="Q69" i="15"/>
  <c r="Q68" i="15" s="1"/>
  <c r="C58" i="81"/>
  <c r="C67" i="81" s="1"/>
  <c r="C68" i="81" s="1"/>
  <c r="C71" i="81" s="1"/>
  <c r="Q67" i="15"/>
  <c r="C43" i="15"/>
  <c r="C83" i="15"/>
  <c r="C82" i="15" s="1"/>
  <c r="Q47" i="15"/>
  <c r="Q53" i="15" s="1"/>
  <c r="Q56" i="15"/>
  <c r="Q62" i="15" s="1"/>
  <c r="Q65" i="15"/>
  <c r="Q75" i="15" s="1"/>
  <c r="J16" i="80"/>
  <c r="J25" i="80" s="1"/>
  <c r="C80" i="77"/>
  <c r="C79" i="77" s="1"/>
  <c r="J16" i="77"/>
  <c r="J25" i="77" s="1"/>
  <c r="J22" i="79"/>
  <c r="J13" i="79"/>
  <c r="J23" i="79" s="1"/>
  <c r="C61" i="79"/>
  <c r="C59" i="79" s="1"/>
  <c r="C64" i="79"/>
  <c r="C37" i="79"/>
  <c r="C30" i="79" s="1"/>
  <c r="C39" i="79" s="1"/>
  <c r="C56" i="79"/>
  <c r="C65" i="79" s="1"/>
  <c r="C75" i="79"/>
  <c r="Q70" i="79"/>
  <c r="C46" i="15"/>
  <c r="C58" i="80"/>
  <c r="C67" i="80" s="1"/>
  <c r="C68" i="80" s="1"/>
  <c r="C71" i="80" s="1"/>
  <c r="C58" i="77"/>
  <c r="C67" i="77" s="1"/>
  <c r="C68" i="77" s="1"/>
  <c r="C71" i="77" s="1"/>
  <c r="Q67" i="80"/>
  <c r="Q67" i="77"/>
  <c r="C80" i="80"/>
  <c r="C79" i="80" s="1"/>
  <c r="C46" i="78"/>
  <c r="Q56" i="78"/>
  <c r="Q62" i="78" s="1"/>
  <c r="Q47" i="78"/>
  <c r="Q53" i="78" s="1"/>
  <c r="C43" i="78"/>
  <c r="B2" i="78"/>
  <c r="C83" i="78"/>
  <c r="C82" i="78" s="1"/>
  <c r="Q65" i="78"/>
  <c r="Q75" i="78" s="1"/>
  <c r="B2" i="81"/>
  <c r="Q56" i="81"/>
  <c r="Q62" i="81" s="1"/>
  <c r="C83" i="81"/>
  <c r="C82" i="81" s="1"/>
  <c r="Q47" i="81"/>
  <c r="Q53" i="81" s="1"/>
  <c r="Q65" i="81"/>
  <c r="Q75" i="81" s="1"/>
  <c r="C43" i="81"/>
  <c r="C40" i="80"/>
  <c r="Q69" i="80"/>
  <c r="Q68" i="80" s="1"/>
  <c r="Q69" i="77"/>
  <c r="Q68" i="77" s="1"/>
  <c r="C40" i="77"/>
  <c r="C102" i="9"/>
  <c r="C21" i="9"/>
  <c r="B3" i="68"/>
  <c r="B6" i="70"/>
  <c r="B3" i="15"/>
  <c r="C6" i="12" s="1"/>
  <c r="C8" i="12" s="1"/>
  <c r="C57" i="68"/>
  <c r="C56" i="68" s="1"/>
  <c r="C57" i="69"/>
  <c r="C56" i="69" s="1"/>
  <c r="C56" i="11"/>
  <c r="C57" i="11" s="1"/>
  <c r="N68" i="39"/>
  <c r="M70" i="39"/>
  <c r="AO11" i="1"/>
  <c r="AO8" i="1"/>
  <c r="C20" i="9"/>
  <c r="L51" i="79"/>
  <c r="B11" i="70" l="1"/>
  <c r="B3" i="81"/>
  <c r="H6" i="12" s="1"/>
  <c r="H8" i="12" s="1"/>
  <c r="C46" i="81"/>
  <c r="C58" i="79"/>
  <c r="C67" i="79" s="1"/>
  <c r="C68" i="79" s="1"/>
  <c r="C71" i="79" s="1"/>
  <c r="J16" i="79"/>
  <c r="J25" i="79" s="1"/>
  <c r="C80" i="79"/>
  <c r="C79" i="79" s="1"/>
  <c r="Q67" i="79"/>
  <c r="Q69" i="79"/>
  <c r="Q68" i="79" s="1"/>
  <c r="C40" i="79"/>
  <c r="B8" i="70"/>
  <c r="Q47" i="80"/>
  <c r="Q53" i="80" s="1"/>
  <c r="Q56" i="80"/>
  <c r="Q62" i="80" s="1"/>
  <c r="B2" i="80"/>
  <c r="Q65" i="80"/>
  <c r="Q75" i="80" s="1"/>
  <c r="C43" i="80"/>
  <c r="C83" i="80"/>
  <c r="C82" i="80" s="1"/>
  <c r="Q47" i="77"/>
  <c r="Q53" i="77" s="1"/>
  <c r="Q56" i="77"/>
  <c r="Q62" i="77" s="1"/>
  <c r="Q65" i="77"/>
  <c r="Q75" i="77" s="1"/>
  <c r="C43" i="77"/>
  <c r="B2" i="77"/>
  <c r="C83" i="77"/>
  <c r="C82" i="77" s="1"/>
  <c r="B3" i="78"/>
  <c r="E6" i="12" s="1"/>
  <c r="E8" i="12" s="1"/>
  <c r="C46" i="77"/>
  <c r="C46" i="80"/>
  <c r="C103" i="9"/>
  <c r="O68" i="39"/>
  <c r="O70" i="39" s="1"/>
  <c r="N70" i="39"/>
  <c r="AO10" i="1"/>
  <c r="AO7" i="1"/>
  <c r="Q56" i="79" l="1"/>
  <c r="Q62" i="79" s="1"/>
  <c r="Q47" i="79"/>
  <c r="Q53" i="79" s="1"/>
  <c r="C43" i="79"/>
  <c r="C46" i="79"/>
  <c r="B2" i="79"/>
  <c r="C83" i="79"/>
  <c r="C82" i="79" s="1"/>
  <c r="Q65" i="79"/>
  <c r="Q75" i="79" s="1"/>
  <c r="B7" i="70"/>
  <c r="B10" i="70"/>
  <c r="B3" i="77"/>
  <c r="D6" i="12" s="1"/>
  <c r="D8" i="12" s="1"/>
  <c r="B3" i="80"/>
  <c r="G6" i="12" s="1"/>
  <c r="G8" i="12" s="1"/>
  <c r="H7" i="39"/>
  <c r="J7" i="39"/>
  <c r="F7" i="39"/>
  <c r="AO9" i="1"/>
  <c r="B9" i="70" l="1"/>
  <c r="B2" i="70" s="1"/>
  <c r="B3" i="70" s="1"/>
  <c r="B3" i="79"/>
  <c r="F6" i="12" s="1"/>
  <c r="F8" i="12" s="1"/>
  <c r="C4" i="12" s="1"/>
  <c r="C31" i="12" s="1"/>
  <c r="S7" i="39"/>
  <c r="AA7" i="39"/>
  <c r="R47" i="39" s="1"/>
  <c r="AC7" i="39"/>
  <c r="V47" i="39" s="1"/>
  <c r="I47" i="39" s="1"/>
  <c r="W7" i="39"/>
  <c r="AB7" i="39"/>
  <c r="T47" i="39" s="1"/>
  <c r="G47" i="39" s="1"/>
  <c r="U7" i="39"/>
  <c r="C23" i="12" l="1"/>
  <c r="C27" i="12" s="1"/>
  <c r="C25" i="12" s="1"/>
  <c r="G51" i="39"/>
  <c r="H51" i="39" s="1"/>
  <c r="G52" i="39"/>
  <c r="H52" i="39" s="1"/>
  <c r="I51" i="39"/>
  <c r="J51" i="39" s="1"/>
  <c r="E47" i="39"/>
  <c r="R48" i="39"/>
  <c r="C30" i="12" l="1"/>
  <c r="C28" i="12" s="1"/>
  <c r="C32" i="12" s="1"/>
  <c r="B2" i="12" s="1"/>
  <c r="E52" i="39"/>
  <c r="F52" i="39" s="1"/>
  <c r="E51" i="39"/>
  <c r="F51" i="39" s="1"/>
  <c r="C48" i="39"/>
  <c r="C47" i="39"/>
  <c r="I52" i="39"/>
  <c r="J52" i="39" s="1"/>
  <c r="D19" i="9"/>
  <c r="D21" i="9" l="1"/>
  <c r="D22" i="9"/>
  <c r="D102" i="9"/>
  <c r="G19" i="9"/>
  <c r="B3" i="1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G21" i="9"/>
  <c r="C32" i="9"/>
  <c r="C35" i="9" l="1"/>
  <c r="H118" i="9"/>
  <c r="H101" i="9" l="1"/>
  <c r="I118" i="9"/>
  <c r="C104" i="9"/>
  <c r="D14" i="74"/>
  <c r="H119" i="9"/>
  <c r="H5" i="52" s="1"/>
  <c r="H4" i="52"/>
  <c r="F118" i="9"/>
  <c r="C34" i="9"/>
  <c r="D118" i="9" s="1"/>
  <c r="F119" i="9" l="1"/>
  <c r="F5" i="52" s="1"/>
  <c r="B53" i="72" s="1"/>
  <c r="F4" i="52"/>
  <c r="B51" i="72" s="1"/>
  <c r="G118" i="9"/>
  <c r="G4" i="52" s="1"/>
  <c r="B52" i="72" s="1"/>
  <c r="D119" i="9"/>
  <c r="D5" i="52" s="1"/>
  <c r="B49" i="72" s="1"/>
  <c r="D4" i="52"/>
  <c r="B47" i="72" s="1"/>
  <c r="F14" i="74"/>
  <c r="E14" i="74"/>
  <c r="I4" i="52"/>
  <c r="H102" i="9"/>
  <c r="D7" i="53" s="1"/>
  <c r="B21" i="72" s="1"/>
  <c r="C105" i="9"/>
  <c r="D45" i="9"/>
  <c r="M48" i="9"/>
  <c r="H107" i="9"/>
  <c r="D5" i="53"/>
  <c r="B20" i="72" l="1"/>
  <c r="D6" i="53"/>
  <c r="B22" i="72" s="1"/>
  <c r="D13" i="53"/>
  <c r="D122" i="9"/>
  <c r="H108" i="9"/>
  <c r="D15" i="53" s="1"/>
  <c r="B31" i="72" s="1"/>
  <c r="M49" i="9"/>
  <c r="C78" i="9"/>
  <c r="C73" i="9" s="1"/>
  <c r="C72" i="9"/>
  <c r="C93" i="9"/>
  <c r="C86" i="9" s="1"/>
  <c r="D52" i="9"/>
  <c r="D55" i="9"/>
  <c r="M53" i="9" s="1"/>
  <c r="C64" i="9"/>
  <c r="C63" i="9" s="1"/>
  <c r="C67" i="9" s="1"/>
  <c r="C68" i="9" s="1"/>
  <c r="D54" i="9" s="1"/>
  <c r="C85" i="9"/>
  <c r="D53" i="9"/>
  <c r="E118" i="9"/>
  <c r="E4" i="52" s="1"/>
  <c r="B48" i="72" s="1"/>
  <c r="C95" i="9" l="1"/>
  <c r="C96" i="9" s="1"/>
  <c r="E96" i="9" s="1"/>
  <c r="E97" i="9" s="1"/>
  <c r="C79" i="9"/>
  <c r="C80" i="9" s="1"/>
  <c r="E80" i="9" s="1"/>
  <c r="E81" i="9" s="1"/>
  <c r="L63" i="9"/>
  <c r="M63" i="9" s="1"/>
  <c r="L66" i="9"/>
  <c r="M66" i="9" s="1"/>
  <c r="L68" i="9"/>
  <c r="M68" i="9" s="1"/>
  <c r="L64" i="9"/>
  <c r="M64" i="9" s="1"/>
  <c r="L67" i="9"/>
  <c r="M67" i="9" s="1"/>
  <c r="L65" i="9"/>
  <c r="M65" i="9" s="1"/>
  <c r="G14" i="74"/>
  <c r="D8" i="52"/>
  <c r="D123" i="9"/>
  <c r="D9" i="52" s="1"/>
  <c r="B30" i="72"/>
  <c r="D14" i="53"/>
  <c r="B32" i="72" s="1"/>
  <c r="C81" i="9" l="1"/>
  <c r="C97" i="9"/>
  <c r="D58" i="9" s="1"/>
  <c r="D56" i="9" s="1"/>
  <c r="M54" i="9" s="1"/>
  <c r="N57" i="9" s="1"/>
  <c r="M69" i="9"/>
  <c r="N69" i="9" s="1"/>
  <c r="N59" i="9" l="1"/>
  <c r="P57" i="9"/>
  <c r="N58" i="9"/>
  <c r="E17" i="74"/>
  <c r="F17" i="74"/>
  <c r="N61" i="9" l="1"/>
  <c r="N60" i="9"/>
  <c r="E16" i="74" l="1"/>
  <c r="F16" i="74"/>
  <c r="B6" i="74" l="1"/>
  <c r="D6" i="74" l="1"/>
  <c r="C6" i="74"/>
  <c r="B5" i="74"/>
  <c r="E15" i="74"/>
  <c r="F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<sst xmlns="http://schemas.openxmlformats.org/spreadsheetml/2006/main" count="9415" uniqueCount="3122">
  <si>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</si>
  <si>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</si>
  <si>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</si>
  <si>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</si>
  <si>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</si>
  <si>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</si>
  <si>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</si>
  <si>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</si>
  <si>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</si>
  <si>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</si>
  <si>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</si>
  <si>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</si>
  <si>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</si>
  <si>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</si>
  <si>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</si>
  <si>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</si>
  <si>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</si>
  <si>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</si>
  <si>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</si>
  <si>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</si>
  <si>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</si>
  <si>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</si>
  <si>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</si>
  <si>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</si>
  <si>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</si>
  <si>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</si>
  <si>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</si>
  <si>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</si>
  <si>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</si>
  <si>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</si>
  <si>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</si>
  <si>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</si>
  <si>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</si>
  <si>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</si>
  <si>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</si>
  <si>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</si>
  <si>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</si>
  <si>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</si>
  <si>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</si>
  <si>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</si>
  <si>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</si>
  <si>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</si>
  <si>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</si>
  <si>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</si>
  <si>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</si>
  <si>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</si>
  <si>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</si>
  <si>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</si>
  <si>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</si>
  <si>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</si>
  <si>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</si>
  <si>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</si>
  <si>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</si>
  <si>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</si>
  <si>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</si>
  <si>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</si>
  <si>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</si>
  <si>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</si>
  <si>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</si>
  <si>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</si>
  <si>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</si>
  <si>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</si>
  <si>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</si>
  <si>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</si>
  <si>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</si>
  <si>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</si>
  <si>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</si>
  <si>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</si>
  <si>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</si>
  <si>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</si>
  <si>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</si>
  <si>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</si>
  <si>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</si>
  <si>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</si>
  <si>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</si>
  <si>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</si>
  <si>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</si>
  <si>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</si>
  <si>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</si>
  <si>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</si>
  <si>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</si>
  <si>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</si>
  <si>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</si>
  <si>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</si>
  <si>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</si>
  <si>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</si>
  <si>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</si>
  <si>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</si>
  <si>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</si>
  <si>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</si>
  <si>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</si>
  <si>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</si>
  <si>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</si>
  <si>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</si>
  <si>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</si>
  <si>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</si>
  <si>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</si>
  <si>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</si>
  <si>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</si>
  <si>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</si>
  <si>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</si>
  <si>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</si>
  <si>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</si>
  <si>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</si>
  <si>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</si>
  <si>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</si>
  <si>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</si>
  <si>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</si>
  <si>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</si>
  <si>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</si>
  <si>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</si>
  <si>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</si>
  <si>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</si>
  <si>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</si>
  <si>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</si>
  <si>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</si>
  <si>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</si>
  <si>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</si>
  <si>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</si>
  <si>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</si>
  <si>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</si>
  <si>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</si>
  <si>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</si>
  <si>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</si>
  <si>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</si>
  <si>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</si>
  <si>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</si>
  <si>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</si>
  <si>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</si>
  <si>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</si>
  <si>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</si>
  <si>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</si>
  <si>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</si>
  <si>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</si>
  <si>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</si>
  <si>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</si>
  <si>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</si>
  <si>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</si>
  <si>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</si>
  <si>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</si>
  <si>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</si>
  <si>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</si>
  <si>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</si>
  <si>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</si>
  <si>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</si>
  <si>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</si>
  <si>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</si>
  <si>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</si>
  <si>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</si>
  <si>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</si>
  <si>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</si>
  <si>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</si>
  <si>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</si>
  <si>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</si>
  <si>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</si>
  <si>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</si>
  <si>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</si>
  <si>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</si>
  <si>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</si>
  <si>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</si>
  <si>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</si>
  <si>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</si>
  <si>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</si>
  <si>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</si>
  <si>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</si>
  <si>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</si>
  <si>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</si>
  <si>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</si>
  <si>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</si>
  <si>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</si>
  <si>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</si>
  <si>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</si>
  <si>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</si>
  <si>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</si>
  <si>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</si>
  <si>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</si>
  <si>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</si>
  <si>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</si>
  <si>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</si>
  <si>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</si>
  <si>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</si>
  <si>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</si>
  <si>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</si>
  <si>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</si>
  <si>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</si>
  <si>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</si>
  <si>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</si>
  <si>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</si>
  <si>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</si>
  <si>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</si>
  <si>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</si>
  <si>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</si>
  <si>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</si>
  <si>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</si>
  <si>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</si>
  <si>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</si>
  <si>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</si>
  <si>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</si>
  <si>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</si>
  <si>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</si>
  <si>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</si>
  <si>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</si>
  <si>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</si>
  <si>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</si>
  <si>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</si>
  <si>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</si>
  <si>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</si>
  <si>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</si>
  <si>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</si>
  <si>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</si>
  <si>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</si>
  <si>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</si>
  <si>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</si>
  <si>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</si>
  <si>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</si>
  <si>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</si>
  <si>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</si>
  <si>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</si>
  <si>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</si>
  <si>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</si>
  <si>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</si>
  <si>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</si>
  <si>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</si>
  <si>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</si>
  <si>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</si>
  <si>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</si>
  <si>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</si>
  <si>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</si>
  <si>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</si>
  <si>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</si>
  <si>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</si>
  <si>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</si>
  <si>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</si>
  <si>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</si>
  <si>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</si>
  <si>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</si>
  <si>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</si>
  <si>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</si>
  <si>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</si>
  <si>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</si>
  <si>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</si>
  <si>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</si>
  <si>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</si>
  <si>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</si>
  <si>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</si>
  <si>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</si>
  <si>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</si>
  <si>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</si>
  <si>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</si>
  <si>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</si>
  <si>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</si>
  <si>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</si>
  <si>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</si>
  <si>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</si>
  <si>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</si>
  <si>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</si>
  <si>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</si>
  <si>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</si>
  <si>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</si>
  <si>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</si>
  <si>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</si>
  <si>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</si>
  <si>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</si>
  <si>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</si>
  <si>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</si>
  <si>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</si>
  <si>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</si>
  <si>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</si>
  <si>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</si>
  <si>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</si>
  <si>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</si>
  <si>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</si>
  <si>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</si>
  <si>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</si>
  <si>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</si>
  <si>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</si>
  <si>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</si>
  <si>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</si>
  <si>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</si>
  <si>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</si>
  <si>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</si>
  <si>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</si>
  <si>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</si>
  <si>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</si>
  <si>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</si>
  <si>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</si>
  <si>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</si>
  <si>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</si>
  <si>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</si>
  <si>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</si>
  <si>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</si>
  <si>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</si>
  <si>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</si>
  <si>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</si>
  <si>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</si>
  <si>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</si>
  <si>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</si>
  <si>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</si>
  <si>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</si>
  <si>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</si>
  <si>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</si>
  <si>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</si>
  <si>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</si>
  <si>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</si>
  <si>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</si>
  <si>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</si>
  <si>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</si>
  <si>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</si>
  <si>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</si>
  <si>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</si>
  <si>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</si>
  <si>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</si>
  <si>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</si>
  <si>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</si>
  <si>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</si>
  <si>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</si>
  <si>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</si>
  <si>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</si>
  <si>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</si>
  <si>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</si>
  <si>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</si>
  <si>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</si>
  <si>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</si>
  <si>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</si>
  <si>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</si>
  <si>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</si>
  <si>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</si>
  <si>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</si>
  <si>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</si>
  <si>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</si>
  <si>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</si>
  <si>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</si>
  <si>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</si>
  <si>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</si>
  <si>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</si>
  <si>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</si>
  <si>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</si>
  <si>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</si>
  <si>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</si>
  <si>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</si>
  <si>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</si>
  <si>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</si>
  <si>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</si>
  <si>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</si>
  <si>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</si>
  <si>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</si>
  <si>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</si>
  <si>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</si>
  <si>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</si>
  <si>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</si>
  <si>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</si>
  <si>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</si>
  <si>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</si>
  <si>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</si>
  <si>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</si>
  <si>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</si>
  <si>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</si>
  <si>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</si>
  <si>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</si>
  <si>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</si>
  <si>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</si>
  <si>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</si>
  <si>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</si>
  <si>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</si>
  <si>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</si>
  <si>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</si>
  <si>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</si>
  <si>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</si>
  <si>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</si>
  <si>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</si>
  <si>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</si>
  <si>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</si>
  <si>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</si>
  <si>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</si>
  <si>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</si>
  <si>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</si>
  <si>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</si>
  <si>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</si>
  <si>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</si>
  <si>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</si>
  <si>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</si>
  <si>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</si>
  <si>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</si>
  <si>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</si>
  <si>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</si>
  <si>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</si>
  <si>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</si>
  <si>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</si>
  <si>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</si>
  <si>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</si>
  <si>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</si>
  <si>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</si>
  <si>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</si>
  <si>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</si>
  <si>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</si>
  <si>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</si>
  <si>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</si>
  <si>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</si>
  <si>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</si>
  <si>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</si>
  <si>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</si>
  <si>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</si>
  <si>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</si>
  <si>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</si>
  <si>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</si>
  <si>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</si>
  <si>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</si>
  <si>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</si>
  <si>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</si>
  <si>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</si>
  <si>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</si>
  <si>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</si>
  <si>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</si>
  <si>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</si>
  <si>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</si>
  <si>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</si>
  <si>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</si>
  <si>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</si>
  <si>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</si>
  <si>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</si>
  <si>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</si>
  <si>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</si>
  <si>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</si>
  <si>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</si>
  <si>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</si>
  <si>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</si>
  <si>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</si>
  <si>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</si>
  <si>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</si>
  <si>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</si>
  <si>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</si>
  <si>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</si>
  <si>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</si>
  <si>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</si>
  <si>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</si>
  <si>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</si>
  <si>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</si>
  <si>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</si>
  <si>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</si>
  <si>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</si>
  <si>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</si>
  <si>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</si>
  <si>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</si>
  <si>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</si>
  <si>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</si>
  <si>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</si>
  <si>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</si>
  <si>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</si>
  <si>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</si>
  <si>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</si>
  <si>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</si>
  <si>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</si>
  <si>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</si>
  <si>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</si>
  <si>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</si>
  <si>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</si>
  <si>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</si>
  <si>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</si>
  <si>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</si>
  <si>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</si>
  <si>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</si>
  <si>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</si>
  <si>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</si>
  <si>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</si>
  <si>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</si>
  <si>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</si>
  <si>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</si>
  <si>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</si>
  <si>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</si>
  <si>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</si>
  <si>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</si>
  <si>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</si>
  <si>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</si>
  <si>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</si>
  <si>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</si>
  <si>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</si>
  <si>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</si>
  <si>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</si>
  <si>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</si>
  <si>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</si>
  <si>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</si>
  <si>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</si>
  <si>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</si>
  <si>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</si>
  <si>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</si>
  <si>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</si>
  <si>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</si>
  <si>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</si>
  <si>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</si>
  <si>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</si>
  <si>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</si>
  <si>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</si>
  <si>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</si>
  <si>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</si>
  <si>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</si>
  <si>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</si>
  <si>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</si>
  <si>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</si>
  <si>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</si>
  <si>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</si>
  <si>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</si>
  <si>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</si>
  <si>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</si>
  <si>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</si>
  <si>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</si>
  <si>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</si>
  <si>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</si>
  <si>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</si>
  <si>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</si>
  <si>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</si>
  <si>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</si>
  <si>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</si>
  <si>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</si>
  <si>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</si>
  <si>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</si>
  <si>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</si>
  <si>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</si>
  <si>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</si>
  <si>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</si>
  <si>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</si>
  <si>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</si>
  <si>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</si>
  <si>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</si>
  <si>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</si>
  <si>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</si>
  <si>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</si>
  <si>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</si>
  <si>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</si>
  <si>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</si>
  <si>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</si>
  <si>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</si>
  <si>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</si>
  <si>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</si>
  <si>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</si>
  <si>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</si>
  <si>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</si>
  <si>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</si>
  <si>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</si>
  <si>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</si>
  <si>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</si>
  <si>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</si>
  <si>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</si>
  <si>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</si>
  <si>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</si>
  <si>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</si>
  <si>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</si>
  <si>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</si>
  <si>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</si>
  <si>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</si>
  <si>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</si>
  <si>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</si>
  <si>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</si>
  <si>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</si>
  <si>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</si>
  <si>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</si>
  <si>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</si>
  <si>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</si>
  <si>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</si>
  <si>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</si>
  <si>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</si>
  <si>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</si>
  <si>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</si>
  <si>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</si>
  <si>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</si>
  <si>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</si>
  <si>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</si>
  <si>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</si>
  <si>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</si>
  <si>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</si>
  <si>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</si>
  <si>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</si>
  <si>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</si>
  <si>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</si>
  <si>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</si>
  <si>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</si>
  <si>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</si>
  <si>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</si>
  <si>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</si>
  <si>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</si>
  <si>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</si>
  <si>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</si>
  <si>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</si>
  <si>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</si>
  <si>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</si>
  <si>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</si>
  <si>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</si>
  <si>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</si>
  <si>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</si>
  <si>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</si>
  <si>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</si>
  <si>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</si>
  <si>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</si>
  <si>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</si>
  <si>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</si>
  <si>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</si>
  <si>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</si>
  <si>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</si>
  <si>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</si>
  <si>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</si>
  <si>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</si>
  <si>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</si>
  <si>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</si>
  <si>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</si>
  <si>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</si>
  <si>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</si>
  <si>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</si>
  <si>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</si>
  <si>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</si>
  <si>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</si>
  <si>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</si>
  <si>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</si>
  <si>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</si>
  <si>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</si>
  <si>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</si>
  <si>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</si>
  <si>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</si>
  <si>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</si>
  <si>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</si>
  <si>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</si>
  <si>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</si>
  <si>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</si>
  <si>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</si>
  <si>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</si>
  <si>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</si>
  <si>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</si>
  <si>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</si>
  <si>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</si>
  <si>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</si>
  <si>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</si>
  <si>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</si>
  <si>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</si>
  <si>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</si>
  <si>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</si>
  <si>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</si>
  <si>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</si>
  <si>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</si>
  <si>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</si>
  <si>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</si>
  <si>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</si>
  <si>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</si>
  <si>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</si>
  <si>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</si>
  <si>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</si>
  <si>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</si>
  <si>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</si>
  <si>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</si>
  <si>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</si>
  <si>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</si>
  <si>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</si>
  <si>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</si>
  <si>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</si>
  <si>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</si>
  <si>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</si>
  <si>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</si>
  <si>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</si>
  <si>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</si>
  <si>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</si>
  <si>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</si>
  <si>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</si>
  <si>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</si>
  <si>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</si>
  <si>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</si>
  <si>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</si>
  <si>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</si>
  <si>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</si>
  <si>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</si>
  <si>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</si>
  <si>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</si>
  <si>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</si>
  <si>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</si>
  <si>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</si>
  <si>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</si>
  <si>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</si>
  <si>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</si>
  <si>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</si>
  <si>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</si>
  <si>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</si>
  <si>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</si>
  <si>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</si>
  <si>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</si>
  <si>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</si>
  <si>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</si>
  <si>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</si>
  <si>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</si>
  <si>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</si>
  <si>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</si>
  <si>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</si>
  <si>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</si>
  <si>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</si>
  <si>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</si>
  <si>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</si>
  <si>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</si>
  <si>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</si>
  <si>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</si>
  <si>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</si>
  <si>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</si>
  <si>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</si>
  <si>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</si>
  <si>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</si>
  <si>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</si>
  <si>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</si>
  <si>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</si>
  <si>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</si>
  <si>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</si>
  <si>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</si>
  <si>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</si>
  <si>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</si>
  <si>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</si>
  <si>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</si>
  <si>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</si>
  <si>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</si>
  <si>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</si>
  <si>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</si>
  <si>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</si>
  <si>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</si>
  <si>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</si>
  <si>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</si>
  <si>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</si>
  <si>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</si>
  <si>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</si>
  <si>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</si>
  <si>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</si>
  <si>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</si>
  <si>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</si>
  <si>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</si>
  <si>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</si>
  <si>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</si>
  <si>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</si>
  <si>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</si>
  <si>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</si>
  <si>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</si>
  <si>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</si>
  <si>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</si>
  <si>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</si>
  <si>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</si>
  <si>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</si>
  <si>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</si>
  <si>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</si>
  <si>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</si>
  <si>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</si>
  <si>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</si>
  <si>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</si>
  <si>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</si>
  <si>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</si>
  <si>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</si>
  <si>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</si>
  <si>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</si>
  <si>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</si>
  <si>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</si>
  <si>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</si>
  <si>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</si>
  <si>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</si>
  <si>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</si>
  <si>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</si>
  <si>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</si>
  <si>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</si>
  <si>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</si>
  <si>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</si>
  <si>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</si>
  <si>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</si>
  <si>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</si>
  <si>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</si>
  <si>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</si>
  <si>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</si>
  <si>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</si>
  <si>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</si>
  <si>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</si>
  <si>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</si>
  <si>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</si>
  <si>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</si>
  <si>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</si>
  <si>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</si>
  <si>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</si>
  <si>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</si>
  <si>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</si>
  <si>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</si>
  <si>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</si>
  <si>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</si>
  <si>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</si>
  <si>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</si>
  <si>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</si>
  <si>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</si>
  <si>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</si>
  <si>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</si>
  <si>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</si>
  <si>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</si>
  <si>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</si>
  <si>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</si>
  <si>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</si>
  <si>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</si>
  <si>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</si>
  <si>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</si>
  <si>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</si>
  <si>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</si>
  <si>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</si>
  <si>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</si>
  <si>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</si>
  <si>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</si>
  <si>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</si>
  <si>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</si>
  <si>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</si>
  <si>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</si>
  <si>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</si>
  <si>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</si>
  <si>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</si>
  <si>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</si>
  <si>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</si>
  <si>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</si>
  <si>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</si>
  <si>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</si>
  <si>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</si>
  <si>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</si>
  <si>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</si>
  <si>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</si>
  <si>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</si>
  <si>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</si>
  <si>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</si>
  <si>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</si>
  <si>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</si>
  <si>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</si>
  <si>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</si>
  <si>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</si>
  <si>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</si>
  <si>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</si>
  <si>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</si>
  <si>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</si>
  <si>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</si>
  <si>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</si>
  <si>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</si>
  <si>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</si>
  <si>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</si>
  <si>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</si>
  <si>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</si>
  <si>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</si>
  <si>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</si>
  <si>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</si>
  <si>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</si>
  <si>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</si>
  <si>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</si>
  <si>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</si>
  <si>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</si>
  <si>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</si>
  <si>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</si>
  <si>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</si>
  <si>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</si>
  <si>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</si>
  <si>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</si>
  <si>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</si>
  <si>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</si>
  <si>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</si>
  <si>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</si>
  <si>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</si>
  <si>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</si>
  <si>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</si>
  <si>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</si>
  <si>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</si>
  <si>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</si>
  <si>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</si>
  <si>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</si>
  <si>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</si>
  <si>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</si>
  <si>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</si>
  <si>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</si>
  <si>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</si>
  <si>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</si>
  <si>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</si>
  <si>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</si>
  <si>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</si>
  <si>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</si>
  <si>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</si>
  <si>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</si>
  <si>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</si>
  <si>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</si>
  <si>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</si>
  <si>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</si>
  <si>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</si>
  <si>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</si>
  <si>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</si>
  <si>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</si>
  <si>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</si>
  <si>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</si>
  <si>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</si>
  <si>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</si>
  <si>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</si>
  <si>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</si>
  <si>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</si>
  <si>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</si>
  <si>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</si>
  <si>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</si>
  <si>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</si>
  <si>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</si>
  <si>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</si>
  <si>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</si>
  <si>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</si>
  <si>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</si>
  <si>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</si>
  <si>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</si>
  <si>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</si>
  <si>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</si>
  <si>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</si>
  <si>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</si>
  <si>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</si>
  <si>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</si>
  <si>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</si>
  <si>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</si>
  <si>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</si>
  <si>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</si>
  <si>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</si>
  <si>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</si>
  <si>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</si>
  <si>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</si>
  <si>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</si>
  <si>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</si>
  <si>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</si>
  <si>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</si>
  <si>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</si>
  <si>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</si>
  <si>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</si>
  <si>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</si>
  <si>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</si>
  <si>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</si>
  <si>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</si>
  <si>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</si>
  <si>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</si>
  <si>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</si>
  <si>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</si>
  <si>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</si>
  <si>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</si>
  <si>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</si>
  <si>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</si>
  <si>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</si>
  <si>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</si>
  <si>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</si>
  <si>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</si>
  <si>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</si>
  <si>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</si>
  <si>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</si>
  <si>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</si>
  <si>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</si>
  <si>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</si>
  <si>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</si>
  <si>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</si>
  <si>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</si>
  <si>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</si>
  <si>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</si>
  <si>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</si>
  <si>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</si>
  <si>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</si>
  <si>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</si>
  <si>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</si>
  <si>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</si>
  <si>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</si>
  <si>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</si>
  <si>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</si>
  <si>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</si>
  <si>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</si>
  <si>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</si>
  <si>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</si>
  <si>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</si>
  <si>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</si>
  <si>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</si>
  <si>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</si>
  <si>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</si>
  <si>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</si>
  <si>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</si>
  <si>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</si>
  <si>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</si>
  <si>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</si>
  <si>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</si>
  <si>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</si>
  <si>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</si>
  <si>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</si>
  <si>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</si>
  <si>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</si>
  <si>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</si>
  <si>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</si>
  <si>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</si>
  <si>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</si>
  <si>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</si>
  <si>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</si>
  <si>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</si>
  <si>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</si>
  <si>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</si>
  <si>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</si>
  <si>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</si>
  <si>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</si>
  <si>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</si>
  <si>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</si>
  <si>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</si>
  <si>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</si>
  <si>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</si>
  <si>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</si>
  <si>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</si>
  <si>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</si>
  <si>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</si>
  <si>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</si>
  <si>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</si>
  <si>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</si>
  <si>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</si>
  <si>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</si>
  <si>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</si>
  <si>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</si>
  <si>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</si>
  <si>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</si>
  <si>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</si>
  <si>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</si>
  <si>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</si>
  <si>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</si>
  <si>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</si>
  <si>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</si>
  <si>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</si>
  <si>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</si>
  <si>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</si>
  <si>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</si>
  <si>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</si>
  <si>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</si>
  <si>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</si>
  <si>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</si>
  <si>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</si>
  <si>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</si>
  <si>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</si>
  <si>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</si>
  <si>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</si>
  <si>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</si>
  <si>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</si>
  <si>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</si>
  <si>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</si>
  <si>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</si>
  <si>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</si>
  <si>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</si>
  <si>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</si>
  <si>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</si>
  <si>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</si>
  <si>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</si>
  <si>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</si>
  <si>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</si>
  <si>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</si>
  <si>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</si>
  <si>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</si>
  <si>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</si>
  <si>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</si>
  <si>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</si>
  <si>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</si>
  <si>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</si>
  <si>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</si>
  <si>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</si>
  <si>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</si>
  <si>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</si>
  <si>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</si>
  <si>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</si>
  <si>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</si>
  <si>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</si>
  <si>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</si>
  <si>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</si>
  <si>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</si>
  <si>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</si>
  <si>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</si>
  <si>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</si>
  <si>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</si>
  <si>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</si>
  <si>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</si>
  <si>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</si>
  <si>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</si>
  <si>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</si>
  <si>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</si>
  <si>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</si>
  <si>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</si>
  <si>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</si>
  <si>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</si>
  <si>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</si>
  <si>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</si>
  <si>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</si>
  <si>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</si>
  <si>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</si>
  <si>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</si>
  <si>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</si>
  <si>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</si>
  <si>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</si>
  <si>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</si>
  <si>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</si>
  <si>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</si>
  <si>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</si>
  <si>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</si>
  <si>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</si>
  <si>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</si>
  <si>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</si>
  <si>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</si>
  <si>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</si>
  <si>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</si>
  <si>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</si>
  <si>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</si>
  <si>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</si>
  <si>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</si>
  <si>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</si>
  <si>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</si>
  <si>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</si>
  <si>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</si>
  <si>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</si>
  <si>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</si>
  <si>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</si>
  <si>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</si>
  <si>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</si>
  <si>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</si>
  <si>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</si>
  <si>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</si>
  <si>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</si>
  <si>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</si>
  <si>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</si>
  <si>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</si>
  <si>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</si>
  <si>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</si>
  <si>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</si>
  <si>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</si>
  <si>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</si>
  <si>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</si>
  <si>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</si>
  <si>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</si>
  <si>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</si>
  <si>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</si>
  <si>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</si>
  <si>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</si>
  <si>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</si>
  <si>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</si>
  <si>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</si>
  <si>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</si>
  <si>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</si>
  <si>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</si>
  <si>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</si>
  <si>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</si>
  <si>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</si>
  <si>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</si>
  <si>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</si>
  <si>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</si>
  <si>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</si>
  <si>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</si>
  <si>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</si>
  <si>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</si>
  <si>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</si>
  <si>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</si>
  <si>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</si>
  <si>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</si>
  <si>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</si>
  <si>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</si>
  <si>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</si>
  <si>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</si>
  <si>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</si>
  <si>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</si>
  <si>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</si>
  <si>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</si>
  <si>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</si>
  <si>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</si>
  <si>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</si>
  <si>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</si>
  <si>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</si>
  <si>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</si>
  <si>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</si>
  <si>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</si>
  <si>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</si>
  <si>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</si>
  <si>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</si>
  <si>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</si>
  <si>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</si>
  <si>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</si>
  <si>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</si>
  <si>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</si>
  <si>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</si>
  <si>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</si>
  <si>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</si>
  <si>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</si>
  <si>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</si>
  <si>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</si>
  <si>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</si>
  <si>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</si>
  <si>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</si>
  <si>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</si>
  <si>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</si>
  <si>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</si>
  <si>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</si>
  <si>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</si>
  <si>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</si>
  <si>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</si>
  <si>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</si>
  <si>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</si>
  <si>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</si>
  <si>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</si>
  <si>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</si>
  <si>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</si>
  <si>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</si>
  <si>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</si>
  <si>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</si>
  <si>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</si>
  <si>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</si>
  <si>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</si>
  <si>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</si>
  <si>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</si>
  <si>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</si>
  <si>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</si>
  <si>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</si>
  <si>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</si>
  <si>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</si>
  <si>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</si>
  <si>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</si>
  <si>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</si>
  <si>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</si>
  <si>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</si>
  <si>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</si>
  <si>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</si>
  <si>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</si>
  <si>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</si>
  <si>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</si>
  <si>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</si>
  <si>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</si>
  <si>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</si>
  <si>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</si>
  <si>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</si>
  <si>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</si>
  <si>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</si>
  <si>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</si>
  <si>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</si>
  <si>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</si>
  <si>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</si>
  <si>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</si>
  <si>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</si>
  <si>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</si>
  <si>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</si>
  <si>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</si>
  <si>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</si>
  <si>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</si>
  <si>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</si>
  <si>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</si>
  <si>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</si>
  <si>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</si>
  <si>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</si>
  <si>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</si>
  <si>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</si>
  <si>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</si>
  <si>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</si>
  <si>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</si>
  <si>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</si>
  <si>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</si>
  <si>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</si>
  <si>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</si>
  <si>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</si>
  <si>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</si>
  <si>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</si>
  <si>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</si>
  <si>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</si>
  <si>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</si>
  <si>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</si>
  <si>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</si>
  <si>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</si>
  <si>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</si>
  <si>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</si>
  <si>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</si>
  <si>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</si>
  <si>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</si>
  <si>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</si>
  <si>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</si>
  <si>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</si>
  <si>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</si>
  <si>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</si>
  <si>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</si>
  <si>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</si>
  <si>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</si>
  <si>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</si>
  <si>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</si>
  <si>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</si>
  <si>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</si>
  <si>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</si>
  <si>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</si>
  <si>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</si>
  <si>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</si>
  <si>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</si>
  <si>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</si>
  <si>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</si>
  <si>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</si>
  <si>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</si>
  <si>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</si>
  <si>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</si>
  <si>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</si>
  <si>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</si>
  <si>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</si>
  <si>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</si>
  <si>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</si>
  <si>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</si>
  <si>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</si>
  <si>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</si>
  <si>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</si>
  <si>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</si>
  <si>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</si>
  <si>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</si>
  <si>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</si>
  <si>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</si>
  <si>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</si>
  <si>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</si>
  <si>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</si>
  <si>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</si>
  <si>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</si>
  <si>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</si>
  <si>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</si>
  <si>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</si>
  <si>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</si>
  <si>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</si>
  <si>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</si>
  <si>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</si>
  <si>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</si>
  <si>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</si>
  <si>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</si>
  <si>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</si>
  <si>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</si>
  <si>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</si>
  <si>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</si>
  <si>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</si>
  <si>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</si>
  <si>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</si>
  <si>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</si>
  <si>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</si>
  <si>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</si>
  <si>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</si>
  <si>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</si>
  <si>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</si>
  <si>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</si>
  <si>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</si>
  <si>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</si>
  <si>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</si>
  <si>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</si>
  <si>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</si>
  <si>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</si>
  <si>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</si>
  <si>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</si>
  <si>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</si>
  <si>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</si>
  <si>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</si>
  <si>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</si>
  <si>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</si>
  <si>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</si>
  <si>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</si>
  <si>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</si>
  <si>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</si>
  <si>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</si>
  <si>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</si>
  <si>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</si>
  <si>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</si>
  <si>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</si>
  <si>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</si>
  <si>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</si>
  <si>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</si>
  <si>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</si>
  <si>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</si>
  <si>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</si>
  <si>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</si>
  <si>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</si>
  <si>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</si>
  <si>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</si>
  <si>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</si>
  <si>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</si>
  <si>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</si>
  <si>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</si>
  <si>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</si>
  <si>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</si>
  <si>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</si>
  <si>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</si>
  <si>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</si>
  <si>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</si>
  <si>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</si>
  <si>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</si>
  <si>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</si>
  <si>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</si>
  <si>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</si>
  <si>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</si>
  <si>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</si>
  <si>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</si>
  <si>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</si>
  <si>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</si>
  <si>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</si>
  <si>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</si>
  <si>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</si>
  <si>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</si>
  <si>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</si>
  <si>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</si>
  <si>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</si>
  <si>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</si>
  <si>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</si>
  <si>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</si>
  <si>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</si>
  <si>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</si>
  <si>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</si>
  <si>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</si>
  <si>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</si>
  <si>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</si>
  <si>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</si>
  <si>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</si>
  <si>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</si>
  <si>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</si>
  <si>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</si>
  <si>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</si>
  <si>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</si>
  <si>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</si>
  <si>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</si>
  <si>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</si>
  <si>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</si>
  <si>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</si>
  <si>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</si>
  <si>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</si>
  <si>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</si>
  <si>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</si>
  <si>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</si>
  <si>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</si>
  <si>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</si>
  <si>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</si>
  <si>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</si>
  <si>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</si>
  <si>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</si>
  <si>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</si>
  <si>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</si>
  <si>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</si>
  <si>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</si>
  <si>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</si>
  <si>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</si>
  <si>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</si>
  <si>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</si>
  <si>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</si>
  <si>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</si>
  <si>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</si>
  <si>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</si>
  <si>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</si>
  <si>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</si>
  <si>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</si>
  <si>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</si>
  <si>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</si>
  <si>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</si>
  <si>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</si>
  <si>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</si>
  <si>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</si>
  <si>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</si>
  <si>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</si>
  <si>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</si>
  <si>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</si>
  <si>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</si>
  <si>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</si>
  <si>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</si>
  <si>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</si>
  <si>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</si>
  <si>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</si>
  <si>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</si>
  <si>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</si>
  <si>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</si>
  <si>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</si>
  <si>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</si>
  <si>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</si>
  <si>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</si>
  <si>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</si>
  <si>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</si>
  <si>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</si>
  <si>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</si>
  <si>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</si>
  <si>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</si>
  <si>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</si>
  <si>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</si>
  <si>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</si>
  <si>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</si>
  <si>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</si>
  <si>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</si>
  <si>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</si>
  <si>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</si>
  <si>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</si>
  <si>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</si>
  <si>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</si>
  <si>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</si>
  <si>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</si>
  <si>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</si>
  <si>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</si>
  <si>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</si>
  <si>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</si>
  <si>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</si>
  <si>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</si>
  <si>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</si>
  <si>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</si>
  <si>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</si>
  <si>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</si>
  <si>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</si>
  <si>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</si>
  <si>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</si>
  <si>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</si>
  <si>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</si>
  <si>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</si>
  <si>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</si>
  <si>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</si>
  <si>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</si>
  <si>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</si>
  <si>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</si>
  <si>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</si>
  <si>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</si>
  <si>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</si>
  <si>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</si>
  <si>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</si>
  <si>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</si>
  <si>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</si>
  <si>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</si>
  <si>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</si>
  <si>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</si>
  <si>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</si>
  <si>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</si>
  <si>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</si>
  <si>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</si>
  <si>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</si>
  <si>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</si>
  <si>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</si>
  <si>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</si>
  <si>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</si>
  <si>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</si>
  <si>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</si>
  <si>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</si>
  <si>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</si>
  <si>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</si>
  <si>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</si>
  <si>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</si>
  <si>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</si>
  <si>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</si>
  <si>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</si>
  <si>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</si>
  <si>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</si>
  <si>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</si>
  <si>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</si>
  <si>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</si>
  <si>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</si>
  <si>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</si>
  <si>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</si>
  <si>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</si>
  <si>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</si>
  <si>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</si>
  <si>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</si>
  <si>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</si>
  <si>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</si>
  <si>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</si>
  <si>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</si>
  <si>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</si>
  <si>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</si>
  <si>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</si>
  <si>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</si>
  <si>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</si>
  <si>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</si>
  <si>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</si>
  <si>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</si>
  <si>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</si>
  <si>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</si>
  <si>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</si>
  <si>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</si>
  <si>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</si>
  <si>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</si>
  <si>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</si>
  <si>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</si>
  <si>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</si>
  <si>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</si>
  <si>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</si>
  <si>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</si>
  <si>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</si>
  <si>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</si>
  <si>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</si>
  <si>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</si>
  <si>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</si>
  <si>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</si>
  <si>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</si>
  <si>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</si>
  <si>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</si>
  <si>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</si>
  <si>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</si>
  <si>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</si>
  <si>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</si>
  <si>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</si>
  <si>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</si>
  <si>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</si>
  <si>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</si>
  <si>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</si>
  <si>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</si>
  <si>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</si>
  <si>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</si>
  <si>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</si>
  <si>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</si>
  <si>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</si>
  <si>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</si>
  <si>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</si>
  <si>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</si>
  <si>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</si>
  <si>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</si>
  <si>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</si>
  <si>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</si>
  <si>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</si>
  <si>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</si>
  <si>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</si>
  <si>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</si>
  <si>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</si>
  <si>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</si>
  <si>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</si>
  <si>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</si>
  <si>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</si>
  <si>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</si>
  <si>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</si>
  <si>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</si>
  <si>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</si>
  <si>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</si>
  <si>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</si>
  <si>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</si>
  <si>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</si>
  <si>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</si>
  <si>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</si>
  <si>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</si>
  <si>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</si>
  <si>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</si>
  <si>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</si>
  <si>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</si>
  <si>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</si>
  <si>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</si>
  <si>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</si>
  <si>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</si>
  <si>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</si>
  <si>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</si>
  <si>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</si>
  <si>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</si>
  <si>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</si>
  <si>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</si>
  <si>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</si>
  <si>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</si>
  <si>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</si>
  <si>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</si>
  <si>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</si>
  <si>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</si>
  <si>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</si>
  <si>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</si>
  <si>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</si>
  <si>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</si>
  <si>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</si>
  <si>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</si>
  <si>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</si>
  <si>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</si>
  <si>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</si>
  <si>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</si>
  <si>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</si>
  <si>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</si>
  <si>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</si>
  <si>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</si>
  <si>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</si>
  <si>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</si>
  <si>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</si>
  <si>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</si>
  <si>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</si>
  <si>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</si>
  <si>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</si>
  <si>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</si>
  <si>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</si>
  <si>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</si>
  <si>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</si>
  <si>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</si>
  <si>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</si>
  <si>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</si>
  <si>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</si>
  <si>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</si>
  <si>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</si>
  <si>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</si>
  <si>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</si>
  <si>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</si>
  <si>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</si>
  <si>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</si>
  <si>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</si>
  <si>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</si>
  <si>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</si>
  <si>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</si>
  <si>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</si>
  <si>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</si>
  <si>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</si>
  <si>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</si>
  <si>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</si>
  <si>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</si>
  <si>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</si>
  <si>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</si>
  <si>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</si>
  <si>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</si>
  <si>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</si>
  <si>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</si>
  <si>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</si>
  <si>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</si>
  <si>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</si>
  <si>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</si>
  <si>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</si>
  <si>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</si>
  <si>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</si>
  <si>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</si>
  <si>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</si>
  <si>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</si>
  <si>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</si>
  <si>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</si>
  <si>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</si>
  <si>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</si>
  <si>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</si>
  <si>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</si>
  <si>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</si>
  <si>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</si>
  <si>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</si>
  <si>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</si>
  <si>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</si>
  <si>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</si>
  <si>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</si>
  <si>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</si>
  <si>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</si>
  <si>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</si>
  <si>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</si>
  <si>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</si>
  <si>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</si>
  <si>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</si>
  <si>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</si>
  <si>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</si>
  <si>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</si>
  <si>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</si>
  <si>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</si>
  <si>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</si>
  <si>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</si>
  <si>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</si>
  <si>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</si>
  <si>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</si>
  <si>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</si>
  <si>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</si>
  <si>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</si>
  <si>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</si>
  <si>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</si>
  <si>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</si>
  <si>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</si>
  <si>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</si>
  <si>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</si>
  <si>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</si>
  <si>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</si>
  <si>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</si>
  <si>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</si>
  <si>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</si>
  <si>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</si>
  <si>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</si>
  <si>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</si>
  <si>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</si>
  <si>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</si>
  <si>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</si>
  <si>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</si>
  <si>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</si>
  <si>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</si>
  <si>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</si>
  <si>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</si>
  <si>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</si>
  <si>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</si>
  <si>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</si>
  <si>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</si>
  <si>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</si>
  <si>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</si>
  <si>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</si>
  <si>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</si>
  <si>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</si>
  <si>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</si>
  <si>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</si>
  <si>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</si>
  <si>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</si>
  <si>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</si>
  <si>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</si>
  <si>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</si>
  <si>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</si>
  <si>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</si>
  <si>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</si>
  <si>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</si>
  <si>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</si>
  <si>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</si>
  <si>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</si>
  <si>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</si>
  <si>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</si>
  <si>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</si>
  <si>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</si>
  <si>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</si>
  <si>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</si>
  <si>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</si>
  <si>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</si>
  <si>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</si>
  <si>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</si>
  <si>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</si>
  <si>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</si>
  <si>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</si>
  <si>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</si>
  <si>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</si>
  <si>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</si>
  <si>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</si>
  <si>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</si>
  <si>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</si>
  <si>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</si>
  <si>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</si>
  <si>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</si>
  <si>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</si>
  <si>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</si>
  <si>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</si>
  <si>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</si>
  <si>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</si>
  <si>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</si>
  <si>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</si>
  <si>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</si>
  <si>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</si>
  <si>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</si>
  <si>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</si>
  <si>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</si>
  <si>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</si>
  <si>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</si>
  <si>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</si>
  <si>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</si>
  <si>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</si>
  <si>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</si>
  <si>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</si>
  <si>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</si>
  <si>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</si>
  <si>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</si>
  <si>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</si>
  <si>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</si>
  <si>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</si>
  <si>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</si>
  <si>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</si>
  <si>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</si>
  <si>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</si>
  <si>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</si>
  <si>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</si>
  <si>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</si>
  <si>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</si>
  <si>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</si>
  <si>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</si>
  <si>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</si>
  <si>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</si>
  <si>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</si>
  <si>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</si>
  <si>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</si>
  <si>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</si>
  <si>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</si>
  <si>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</si>
  <si>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</si>
  <si>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</si>
  <si>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</si>
  <si>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</si>
  <si>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</si>
  <si>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</si>
  <si>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</si>
  <si>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</si>
  <si>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</si>
  <si>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</si>
  <si>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</si>
  <si>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</si>
  <si>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</si>
  <si>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</si>
  <si>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</si>
  <si>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</si>
  <si>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</si>
  <si>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</si>
  <si>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</si>
  <si>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</si>
  <si>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</si>
  <si>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</si>
  <si>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</si>
  <si>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</si>
  <si>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</si>
  <si>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</si>
  <si>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</si>
  <si>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</si>
  <si>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</si>
  <si>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</si>
  <si>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</si>
  <si>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</si>
  <si>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</si>
  <si>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</si>
  <si>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</si>
  <si>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</si>
  <si>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</si>
  <si>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</si>
  <si>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</si>
  <si>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</si>
  <si>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</si>
  <si>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</si>
  <si>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</si>
  <si>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</si>
  <si>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</si>
  <si>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</si>
  <si>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</si>
  <si>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</si>
  <si>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</si>
  <si>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</si>
  <si>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</si>
  <si>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</si>
  <si>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</si>
  <si>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</si>
  <si>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</si>
  <si>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</si>
  <si>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</si>
  <si>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</si>
  <si>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</si>
  <si>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</si>
  <si>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</si>
  <si>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</si>
  <si>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</si>
  <si>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</si>
  <si>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</si>
  <si>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</si>
  <si>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</si>
  <si>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</si>
  <si>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</si>
  <si>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</si>
  <si>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</si>
  <si>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</si>
  <si>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</si>
  <si>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</si>
  <si>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</si>
  <si>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</si>
  <si>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</si>
  <si>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</si>
  <si>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</si>
  <si>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</si>
  <si>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</si>
  <si>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</si>
  <si>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</si>
  <si>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</si>
  <si>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</si>
  <si>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</si>
  <si>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</si>
  <si>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</si>
  <si>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</si>
  <si>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</si>
  <si>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</si>
  <si>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</si>
  <si>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</si>
  <si>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</si>
  <si>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</si>
  <si>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</si>
  <si>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</si>
  <si>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</si>
  <si>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</si>
  <si>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</si>
  <si>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</si>
  <si>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</si>
  <si>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</si>
  <si>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</si>
  <si>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</si>
  <si>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</si>
  <si>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</si>
  <si>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</si>
  <si>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</si>
  <si>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</si>
  <si>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</si>
  <si>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</si>
  <si>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</si>
  <si>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</si>
  <si>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</si>
  <si>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</si>
  <si>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</si>
  <si>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</si>
  <si>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</si>
  <si>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</si>
  <si>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</si>
  <si>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</si>
  <si>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</si>
  <si>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</si>
  <si>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</si>
  <si>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</si>
  <si>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</si>
  <si>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</si>
  <si>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</si>
  <si>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</si>
  <si>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</si>
  <si>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</si>
  <si>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</si>
  <si>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</si>
  <si>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</si>
  <si>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</si>
  <si>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</si>
  <si>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</si>
  <si>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</si>
  <si>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</si>
  <si>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</si>
  <si>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</si>
  <si>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</si>
  <si>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</si>
  <si>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</si>
  <si>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</si>
  <si>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</si>
  <si>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</si>
  <si>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</si>
  <si>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</si>
  <si>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</si>
  <si>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</si>
  <si>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</si>
  <si>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</si>
  <si>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</si>
  <si>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</si>
  <si>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</si>
  <si>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</si>
  <si>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</si>
  <si>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</si>
  <si>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</si>
  <si>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</si>
  <si>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</si>
  <si>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</si>
  <si>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</si>
  <si>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</si>
  <si>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</si>
  <si>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</si>
  <si>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</si>
  <si>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</si>
  <si>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</si>
  <si>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</si>
  <si>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</si>
  <si>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</si>
  <si>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</si>
  <si>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</si>
  <si>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</si>
  <si>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</si>
  <si>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</si>
  <si>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</si>
  <si>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</si>
  <si>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</si>
  <si>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</si>
  <si>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</si>
  <si>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</si>
  <si>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</si>
  <si>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</si>
  <si>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</si>
  <si>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</si>
  <si>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</si>
  <si>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</si>
  <si>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</si>
  <si>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</si>
  <si>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</si>
  <si>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</si>
  <si>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</si>
  <si>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</si>
  <si>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</si>
  <si>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</si>
  <si>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</si>
  <si>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</si>
  <si>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</si>
  <si>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</si>
  <si>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</si>
  <si>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</si>
  <si>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</si>
  <si>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</si>
  <si>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</si>
  <si>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</si>
  <si>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</si>
  <si>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</si>
  <si>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</si>
  <si>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</si>
  <si>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</si>
  <si>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</si>
  <si>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</si>
  <si>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</si>
  <si>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</si>
  <si>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</si>
  <si>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</si>
  <si>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</si>
  <si>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</si>
  <si>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</si>
  <si>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</si>
  <si>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</si>
  <si>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</si>
  <si>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</si>
  <si>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</si>
  <si>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</si>
  <si>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</si>
  <si>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</si>
  <si>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</si>
  <si>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</si>
  <si>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</si>
  <si>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</si>
  <si>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</si>
  <si>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</si>
  <si>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</si>
  <si>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</si>
  <si>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</si>
  <si>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</si>
  <si>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</si>
  <si>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</si>
  <si>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</si>
  <si>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</si>
  <si>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</si>
  <si>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</si>
  <si>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</si>
  <si>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</si>
  <si>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</si>
  <si>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</si>
  <si>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</si>
  <si>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</si>
  <si>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</si>
  <si>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</si>
  <si>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</si>
  <si>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</si>
  <si>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</si>
  <si>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</si>
  <si>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</si>
  <si>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</si>
  <si>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</si>
  <si>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</si>
  <si>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</si>
  <si>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</si>
  <si>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</si>
  <si>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</si>
  <si>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</si>
  <si>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</si>
  <si>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</si>
  <si>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</si>
  <si>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</si>
  <si>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</si>
  <si>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</si>
  <si>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</si>
  <si>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</si>
  <si>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</si>
  <si>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</si>
  <si>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</si>
  <si>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</si>
  <si>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</si>
  <si>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</si>
  <si>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</si>
  <si>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</si>
  <si>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</si>
  <si>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</si>
  <si>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</si>
  <si>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</si>
  <si>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</si>
  <si>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</si>
  <si>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</si>
  <si>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</si>
  <si>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</si>
  <si>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</si>
  <si>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</si>
  <si>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</si>
  <si>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</si>
  <si>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</si>
  <si>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</si>
  <si>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</si>
  <si>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</si>
  <si>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</si>
  <si>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</si>
  <si>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</si>
  <si>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</si>
  <si>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</si>
  <si>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</si>
  <si>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</si>
  <si>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</si>
  <si>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</si>
  <si>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</si>
  <si>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</si>
  <si>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</si>
  <si>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</si>
  <si>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</si>
  <si>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</si>
  <si>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</si>
  <si>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</si>
  <si>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</si>
  <si>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</si>
  <si>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</si>
  <si>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</si>
  <si>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</si>
  <si>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</si>
  <si>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</si>
  <si>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</si>
  <si>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</si>
  <si>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</si>
  <si>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</si>
  <si>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</si>
  <si>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</si>
  <si>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</si>
  <si>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</si>
  <si>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</si>
  <si>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</si>
  <si>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</si>
  <si>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</si>
  <si>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</si>
  <si>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</si>
  <si>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</si>
  <si>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</si>
  <si>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</si>
  <si>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</si>
  <si>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</si>
  <si>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</si>
  <si>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</si>
  <si>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</si>
  <si>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</si>
  <si>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</si>
  <si>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</si>
  <si>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</si>
  <si>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</si>
  <si>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</si>
  <si>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</si>
  <si>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</si>
  <si>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</si>
  <si>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</si>
  <si>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</si>
  <si>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</si>
  <si>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</si>
  <si>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</si>
  <si>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</si>
  <si>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</si>
  <si>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</si>
  <si>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</si>
  <si>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</si>
  <si>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</si>
  <si>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</si>
  <si>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</si>
  <si>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</si>
  <si>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</si>
  <si>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</si>
  <si>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</si>
  <si>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</si>
  <si>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</si>
  <si>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</si>
  <si>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</si>
  <si>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</si>
  <si>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</si>
  <si>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</si>
  <si>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</si>
  <si>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</si>
  <si>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</si>
  <si>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</si>
  <si>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</si>
  <si>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</si>
  <si>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</si>
  <si>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</si>
  <si>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</si>
  <si>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</si>
  <si>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</si>
  <si>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</si>
  <si>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</si>
  <si>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</si>
  <si>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</si>
  <si>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</si>
  <si>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</si>
  <si>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</si>
  <si>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</si>
  <si>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</si>
  <si>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</si>
  <si>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</si>
  <si>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</si>
  <si>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</si>
  <si>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</si>
  <si>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</si>
  <si>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</si>
  <si>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</si>
  <si>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</si>
  <si>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</si>
  <si>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</si>
  <si>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</si>
  <si>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</si>
  <si>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</si>
  <si>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</si>
  <si>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</si>
  <si>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</si>
  <si>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</si>
  <si>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</si>
  <si>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</si>
  <si>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</si>
  <si>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</si>
  <si>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</si>
  <si>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</si>
  <si>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</si>
  <si>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</si>
  <si>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</si>
  <si>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</si>
  <si>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</si>
  <si>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</si>
  <si>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</si>
  <si>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</si>
  <si>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</si>
  <si>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</si>
  <si>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</si>
  <si>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</si>
  <si>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</si>
  <si>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</si>
  <si>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</si>
  <si>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</si>
  <si>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</si>
  <si>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</si>
  <si>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</si>
  <si>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</si>
  <si>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</si>
  <si>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</si>
  <si>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</si>
  <si>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</si>
  <si>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</si>
  <si>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</si>
  <si>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</si>
  <si>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</si>
  <si>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</si>
  <si>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</si>
  <si>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</si>
  <si>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</si>
  <si>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</si>
  <si>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</si>
  <si>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</si>
  <si>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</si>
  <si>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</si>
  <si>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</si>
  <si>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</si>
  <si>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</si>
  <si>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</si>
  <si>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</si>
  <si>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</si>
  <si>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</si>
  <si>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</si>
  <si>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</si>
  <si>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</si>
  <si>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</si>
  <si>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</si>
  <si>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</si>
  <si>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</si>
  <si>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</si>
  <si>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</si>
  <si>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</si>
  <si>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</si>
  <si>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</si>
  <si>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</si>
  <si>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</si>
  <si>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</si>
  <si>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</si>
  <si>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</si>
  <si>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</si>
  <si>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</si>
  <si>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</si>
  <si>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</si>
  <si>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</si>
  <si>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</si>
  <si>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</si>
  <si>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</si>
  <si>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</si>
  <si>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</si>
  <si>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</si>
  <si>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</si>
  <si>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</si>
  <si>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</si>
  <si>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</si>
  <si>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</si>
  <si>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</si>
  <si>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</si>
  <si>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</si>
  <si>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</si>
  <si>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</si>
  <si>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</si>
  <si>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</si>
  <si>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</si>
  <si>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</si>
  <si>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</si>
  <si>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</si>
  <si>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</si>
  <si>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</si>
  <si>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</si>
  <si>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</si>
  <si>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</si>
  <si>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</si>
  <si>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</si>
  <si>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</si>
  <si>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</si>
  <si>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</si>
  <si>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</si>
  <si>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</si>
  <si>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</si>
  <si>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</si>
  <si>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</si>
  <si>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</si>
  <si>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</si>
  <si>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</si>
  <si>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</si>
  <si>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</si>
  <si>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</si>
  <si>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</si>
  <si>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</si>
  <si>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</si>
  <si>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</si>
  <si>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</si>
  <si>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</si>
  <si>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</si>
  <si>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</si>
  <si>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</si>
  <si>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</si>
  <si>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</si>
  <si>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</si>
  <si>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</si>
  <si>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</si>
  <si>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</si>
  <si>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</si>
  <si>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</si>
  <si>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</si>
  <si>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</si>
  <si>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</si>
  <si>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</si>
  <si>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</si>
  <si>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</si>
  <si>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</si>
  <si>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</si>
  <si>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</si>
  <si>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</si>
  <si>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</si>
  <si>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</si>
  <si>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</si>
  <si>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</si>
  <si>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</si>
  <si>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</si>
  <si>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</si>
  <si>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</si>
  <si>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</si>
  <si>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</si>
  <si>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</si>
  <si>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</si>
  <si>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</si>
  <si>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</si>
  <si>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</si>
  <si>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</si>
  <si>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</si>
  <si>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</si>
  <si>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</si>
  <si>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</si>
  <si>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</si>
  <si>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</si>
  <si>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</si>
  <si>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</si>
  <si>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</si>
  <si>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</si>
  <si>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</si>
  <si>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</si>
  <si>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</si>
  <si>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</si>
  <si>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</si>
  <si>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</si>
  <si>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</si>
  <si>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</si>
  <si>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</si>
  <si>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</si>
  <si>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</si>
  <si>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</si>
  <si>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</si>
  <si>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</si>
  <si>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</si>
  <si>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</si>
  <si>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</si>
  <si>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</si>
  <si>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</si>
  <si>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</si>
  <si>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</si>
  <si>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</si>
  <si>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</si>
  <si>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</si>
  <si>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</si>
  <si>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</si>
  <si>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</si>
  <si>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</si>
  <si>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</si>
  <si>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</si>
  <si>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</si>
  <si>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</si>
  <si>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</si>
  <si>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</si>
  <si>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</si>
  <si>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</si>
  <si>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</si>
  <si>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</si>
  <si>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</si>
  <si>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</si>
  <si>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</si>
  <si>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</si>
  <si>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</si>
  <si>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</si>
  <si>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</si>
  <si>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</si>
  <si>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</si>
  <si>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</si>
  <si>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</si>
  <si>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</si>
  <si>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</si>
  <si>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</si>
  <si>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</si>
  <si>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</si>
  <si>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</si>
  <si>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</si>
  <si>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</si>
  <si>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</si>
  <si>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</si>
  <si>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</si>
  <si>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</si>
  <si>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</si>
  <si>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</si>
  <si>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</si>
  <si>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</si>
  <si>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</si>
  <si>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</si>
  <si>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</si>
  <si>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</si>
  <si>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</si>
  <si>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</si>
  <si>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</si>
  <si>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</si>
  <si>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</si>
  <si>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</si>
  <si>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</si>
  <si>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</si>
  <si>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</si>
  <si>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</si>
  <si>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</si>
  <si>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</si>
  <si>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</si>
  <si>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</si>
  <si>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</si>
  <si>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</si>
  <si>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</si>
  <si>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</si>
  <si>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</si>
  <si>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</si>
  <si>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</si>
  <si>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</si>
  <si>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</si>
  <si>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</si>
  <si>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</si>
  <si>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</si>
  <si>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</si>
  <si>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</si>
  <si>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</si>
  <si>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</si>
  <si>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</si>
  <si>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</si>
  <si>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</si>
  <si>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</si>
  <si>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</si>
  <si>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</si>
  <si>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</si>
  <si>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</si>
  <si>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</si>
  <si>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</si>
  <si>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</si>
  <si>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</si>
  <si>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</si>
  <si>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</si>
  <si>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</si>
  <si>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</si>
  <si>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</si>
  <si>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</si>
  <si>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</si>
  <si>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</si>
  <si>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</si>
  <si>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</si>
  <si>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</si>
  <si>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</si>
  <si>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</si>
  <si>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</si>
  <si>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</si>
  <si>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</si>
  <si>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</si>
  <si>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</si>
  <si>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</si>
  <si>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</si>
  <si>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</si>
  <si>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</si>
  <si>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</si>
  <si>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</si>
  <si>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</si>
  <si>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</si>
  <si>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</si>
  <si>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</si>
  <si>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</si>
  <si>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</si>
  <si>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</si>
  <si>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</si>
  <si>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</si>
  <si>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</si>
  <si>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</si>
  <si>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</si>
  <si>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</si>
  <si>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</si>
  <si>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</si>
  <si>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</si>
  <si>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</si>
  <si>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</si>
  <si>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</si>
  <si>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</si>
  <si>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</si>
  <si>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</si>
  <si>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</si>
  <si>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</si>
  <si>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</si>
  <si>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</si>
  <si>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</si>
  <si>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</si>
  <si>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</si>
  <si>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</si>
  <si>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</si>
  <si>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</si>
  <si>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</si>
  <si>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</si>
  <si>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</si>
  <si>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</si>
  <si>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</si>
  <si>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</si>
  <si>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</si>
  <si>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</si>
  <si>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</si>
  <si>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</si>
  <si>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</si>
  <si>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</si>
  <si>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</si>
  <si>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</si>
  <si>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</si>
  <si>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</si>
  <si>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</si>
  <si>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</si>
  <si>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</si>
  <si>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</si>
  <si>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</si>
  <si>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</si>
  <si>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</si>
  <si>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</si>
  <si>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</si>
  <si>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</si>
  <si>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</si>
  <si>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</si>
  <si>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</si>
  <si>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</si>
  <si>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</si>
  <si>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</si>
  <si>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</si>
  <si>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</si>
  <si>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</si>
  <si>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</si>
  <si>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</si>
  <si>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</si>
  <si>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</si>
  <si>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</si>
  <si>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</si>
  <si>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</si>
  <si>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</si>
  <si>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</si>
  <si>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</si>
  <si>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</si>
  <si>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</si>
  <si>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</si>
  <si>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</si>
  <si>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</si>
  <si>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</si>
  <si>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</si>
  <si>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</si>
  <si>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</si>
  <si>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</si>
  <si>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</si>
  <si>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</si>
  <si>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</si>
  <si>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</si>
  <si>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</si>
  <si>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</si>
  <si>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</si>
  <si>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</si>
  <si>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</si>
  <si>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</si>
  <si>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</si>
  <si>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</si>
  <si>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</si>
  <si>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</si>
  <si>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</si>
  <si>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</si>
  <si>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</si>
  <si>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</si>
  <si>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</si>
  <si>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</si>
  <si>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</si>
  <si>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</si>
  <si>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</si>
  <si>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</si>
  <si>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</si>
  <si>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</si>
  <si>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</si>
  <si>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</si>
  <si>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</si>
  <si>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</si>
  <si>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</si>
  <si>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</si>
  <si>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</si>
  <si>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</si>
  <si>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</si>
  <si>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</si>
  <si>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</si>
  <si>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</si>
  <si>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</si>
  <si>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</si>
  <si>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</si>
  <si>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</si>
  <si>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</si>
  <si>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</si>
  <si>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</si>
  <si>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</si>
  <si>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</si>
  <si>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</si>
  <si>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</si>
  <si>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</si>
  <si>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</si>
  <si>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</si>
  <si>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</si>
  <si>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</si>
  <si>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</si>
  <si>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</si>
  <si>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</si>
  <si>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</si>
  <si>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</si>
  <si>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</si>
  <si>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</si>
  <si>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</si>
  <si>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</si>
  <si>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</si>
  <si>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</si>
  <si>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</si>
  <si>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</si>
  <si>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</si>
  <si>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</si>
  <si>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</si>
  <si>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</si>
  <si>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</si>
  <si>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</si>
  <si>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</si>
  <si>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</si>
  <si>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</si>
  <si>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</si>
  <si>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</si>
  <si>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</si>
  <si>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</si>
  <si>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</si>
  <si>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</si>
  <si>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</si>
  <si>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</si>
  <si>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</si>
  <si>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</si>
  <si>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</si>
  <si>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</si>
  <si>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</si>
  <si>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</si>
  <si>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</si>
  <si>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</si>
  <si>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</si>
  <si>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</si>
  <si>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</si>
  <si>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</si>
  <si>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</si>
  <si>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</si>
  <si>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</si>
  <si>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</si>
  <si>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</si>
  <si>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</si>
  <si>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</si>
  <si>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</si>
  <si>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</si>
  <si>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</si>
  <si>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</si>
  <si>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</si>
  <si>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</si>
  <si>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</si>
  <si>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</si>
  <si>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</si>
  <si>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</si>
  <si>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</si>
  <si>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</si>
  <si>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</si>
  <si>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</si>
  <si>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</si>
  <si>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</si>
  <si>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</si>
  <si>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</si>
  <si>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</si>
  <si>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</si>
  <si>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</si>
  <si>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</si>
  <si>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</si>
  <si>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</si>
  <si>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</si>
  <si>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</si>
  <si>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</si>
  <si>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</si>
  <si>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</si>
  <si>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</si>
  <si>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</si>
  <si>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</si>
  <si>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</si>
  <si>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</si>
  <si>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</si>
  <si>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</si>
  <si>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</si>
  <si>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</si>
  <si>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</si>
  <si>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</si>
  <si>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</si>
  <si>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</si>
  <si>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</si>
  <si>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</si>
  <si>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</si>
  <si>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</si>
  <si>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</si>
  <si>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</si>
  <si>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</si>
  <si>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</si>
  <si>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</si>
  <si>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</si>
  <si>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</si>
  <si>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</si>
  <si>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</si>
  <si>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</si>
  <si>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</si>
  <si>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</si>
  <si>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</si>
  <si>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</si>
  <si>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</si>
  <si>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</si>
  <si>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</si>
  <si>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</si>
  <si>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</si>
  <si>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</si>
  <si>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</si>
  <si>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</si>
  <si>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</si>
  <si>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</si>
  <si>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</si>
  <si>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</si>
  <si>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</si>
  <si>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</si>
  <si>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</si>
  <si>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</si>
  <si>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</si>
  <si>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</si>
  <si>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</si>
  <si>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</si>
  <si>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</si>
  <si>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</si>
  <si>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</si>
  <si>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</si>
  <si>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</si>
  <si>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</si>
  <si>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</si>
  <si>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</si>
  <si>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</si>
  <si>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</si>
  <si>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</si>
  <si>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</si>
  <si>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</si>
  <si>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</si>
  <si>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</si>
  <si>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</si>
  <si>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</si>
  <si>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</si>
  <si>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</si>
  <si>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</si>
  <si>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</si>
  <si>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</si>
  <si>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</si>
  <si>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</si>
  <si>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</si>
  <si>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</si>
  <si>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</si>
  <si>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</si>
  <si>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</si>
  <si>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</si>
  <si>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</si>
  <si>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</si>
  <si>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</si>
  <si>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</si>
  <si>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</si>
  <si>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</si>
  <si>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</si>
  <si>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</si>
  <si>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</si>
  <si>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</si>
  <si>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</si>
  <si>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</si>
  <si>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</si>
  <si>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</si>
  <si>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</si>
  <si>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</si>
  <si>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</si>
  <si>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</si>
  <si>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</si>
  <si>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</si>
  <si>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</si>
  <si>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</si>
  <si>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</si>
  <si>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</si>
  <si>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</si>
  <si>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</si>
  <si>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</si>
  <si>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</si>
  <si>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</si>
  <si>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</si>
  <si>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</si>
  <si>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</si>
  <si>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</si>
  <si>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</si>
  <si>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</si>
  <si>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</si>
  <si>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</si>
  <si>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</si>
  <si>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</si>
  <si>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</si>
  <si>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</si>
  <si>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</si>
  <si>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</si>
  <si>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</si>
  <si>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</si>
  <si>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</si>
  <si>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</si>
  <si>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</si>
  <si>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</si>
  <si>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</si>
  <si>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</si>
  <si>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</si>
  <si>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</si>
  <si>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</si>
  <si>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</si>
  <si>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</si>
  <si>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</si>
  <si>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</si>
  <si>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</si>
  <si>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</si>
  <si>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</si>
  <si>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</si>
  <si>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</si>
  <si>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</si>
  <si>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</si>
  <si>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</si>
  <si>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</si>
  <si>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</si>
  <si>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</si>
  <si>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</si>
  <si>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</si>
  <si>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</si>
  <si>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</si>
  <si>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</si>
  <si>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</si>
  <si>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</si>
  <si>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</si>
  <si>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</si>
  <si>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</si>
  <si>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</si>
  <si>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</si>
  <si>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</si>
  <si>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</si>
  <si>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</si>
  <si>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</si>
  <si>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</si>
  <si>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</si>
  <si>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</si>
  <si>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</si>
  <si>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</si>
  <si>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</si>
  <si>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</si>
  <si>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</si>
  <si>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</si>
  <si>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</si>
  <si>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</si>
  <si>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</si>
  <si>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</si>
  <si>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</si>
  <si>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</si>
  <si>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</si>
  <si>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</si>
  <si>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</si>
  <si>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</si>
  <si>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</si>
  <si>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</si>
  <si>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</si>
  <si>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</si>
  <si>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</si>
  <si>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</si>
  <si>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</si>
  <si>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</si>
  <si>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</si>
  <si>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</si>
  <si>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</si>
  <si>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</si>
  <si>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</si>
  <si>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</si>
  <si>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</si>
  <si>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</si>
  <si>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</si>
  <si>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</si>
  <si>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</si>
  <si>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</si>
  <si>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</si>
  <si>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</si>
  <si>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</si>
  <si>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</si>
  <si>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</si>
  <si>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</si>
  <si>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</si>
  <si>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</si>
  <si>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</si>
  <si>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</si>
  <si>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</si>
  <si>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</si>
  <si>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</si>
  <si>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</si>
  <si>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</si>
  <si>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</si>
  <si>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</si>
  <si>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</si>
  <si>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</si>
  <si>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</si>
  <si>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</si>
  <si>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</si>
  <si>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</si>
  <si>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</si>
  <si>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</si>
  <si>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</si>
  <si>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</si>
  <si>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</si>
  <si>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</si>
  <si>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</si>
  <si>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</si>
  <si>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</si>
  <si>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</si>
  <si>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</si>
  <si>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</si>
  <si>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</si>
  <si>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</si>
  <si>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</si>
  <si>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</si>
  <si>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</si>
  <si>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</si>
  <si>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</si>
  <si>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</si>
  <si>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</si>
  <si>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</si>
  <si>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</si>
  <si>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</si>
  <si>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</si>
  <si>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</si>
  <si>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</si>
  <si>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</si>
  <si>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</si>
  <si>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</si>
  <si>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</si>
  <si>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</si>
  <si>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</si>
  <si>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</si>
  <si>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</si>
  <si>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</si>
  <si>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</si>
  <si>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</si>
  <si>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</si>
  <si>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</si>
  <si>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</si>
  <si>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</si>
  <si>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</si>
  <si>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</si>
  <si>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</si>
  <si>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</si>
  <si>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</si>
  <si>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</si>
  <si>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</si>
  <si>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</si>
  <si>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</si>
  <si>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</si>
  <si>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</si>
  <si>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</si>
  <si>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</si>
  <si>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</si>
  <si>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</si>
  <si>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</si>
  <si>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</si>
  <si>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</si>
  <si>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</si>
  <si>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</si>
  <si>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</si>
  <si>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</si>
  <si>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</si>
  <si>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</si>
  <si>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</si>
  <si>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</si>
  <si>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</si>
  <si>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</si>
  <si>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</si>
  <si>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</si>
  <si>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</si>
  <si>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</si>
  <si>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</si>
  <si>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</si>
  <si>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</si>
  <si>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</si>
  <si>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</si>
  <si>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</si>
  <si>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</si>
  <si>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</si>
  <si>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</si>
  <si>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</si>
  <si>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</si>
  <si>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</si>
  <si>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</si>
  <si>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</si>
  <si>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</si>
  <si>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</si>
  <si>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</si>
  <si>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</si>
  <si>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</si>
  <si>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</si>
  <si>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</si>
  <si>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</si>
  <si>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</si>
  <si>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</si>
  <si>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</si>
  <si>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</si>
  <si>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</si>
  <si>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</si>
  <si>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</si>
  <si>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</si>
  <si>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</si>
  <si>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</si>
  <si>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</si>
  <si>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</si>
  <si>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</si>
  <si>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</si>
  <si>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</si>
  <si>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</si>
  <si>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</si>
  <si>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</si>
  <si>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</si>
  <si>
    <t>收益法库房</t>
  </si>
  <si>
    <t>收益法库房</t>
    <phoneticPr fontId="16" type="noConversion"/>
  </si>
  <si>
    <t>库房</t>
  </si>
  <si>
    <t>库房</t>
    <phoneticPr fontId="3" type="noConversion"/>
  </si>
  <si>
    <t>仓储</t>
  </si>
  <si>
    <t>容积率修正</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</si>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</sst>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0" borderId="23" xfId="0" applyFont="1" applyBorder="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估价对象为北京市出让国有建设用地使用权及在建建筑物房地产，为所有。根据《国有土地使用证》[]，估价对象（分摊）出让国有建设用地使用权面积为22165.75平方米，建筑面积为140932.81平方米。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2019年6月17日（评估专业人员实地查勘之日）</v>
      </c>
    </row>
    <row r="13" spans="1:2" s="1592" customFormat="1">
      <c r="A13" s="1590" t="s">
        <v>1223</v>
      </c>
      <c r="B13" s="1591"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175915</v>
      </c>
    </row>
    <row r="21" spans="1:2" s="1592" customFormat="1">
      <c r="A21" s="1590" t="s">
        <v>1231</v>
      </c>
      <c r="B21" s="1591">
        <f ca="1">'预评函-2'!D7</f>
        <v>12482</v>
      </c>
    </row>
    <row r="22" spans="1:2" s="1592" customFormat="1">
      <c r="A22" s="1590" t="s">
        <v>1232</v>
      </c>
      <c r="B22" s="1591" t="str">
        <f ca="1">'预评函-2'!D6</f>
        <v>壹拾柒亿伍仟玖佰壹拾伍万元整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175915</v>
      </c>
    </row>
    <row r="31" spans="1:2" s="1592" customFormat="1">
      <c r="A31" s="1590" t="s">
        <v>1270</v>
      </c>
      <c r="B31" s="1591">
        <f ca="1">'预评函-2'!D15</f>
        <v>12482</v>
      </c>
    </row>
    <row r="32" spans="1:2" s="1592" customFormat="1">
      <c r="A32" s="1590" t="s">
        <v>1237</v>
      </c>
      <c r="B32" s="1591" t="str">
        <f ca="1">'预评函-2'!D14</f>
        <v>壹拾柒亿伍仟玖佰壹拾伍万元整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140932.81</v>
      </c>
    </row>
    <row r="44" spans="1:2" s="1592" customFormat="1">
      <c r="A44" s="1590" t="s">
        <v>1269</v>
      </c>
      <c r="B44" s="1591" t="str">
        <f>'预评函-3'!C2</f>
        <v>(分摊)土地面积</v>
      </c>
    </row>
    <row r="45" spans="1:2" s="1592" customFormat="1">
      <c r="A45" s="1590" t="s">
        <v>1241</v>
      </c>
      <c r="B45" s="1591">
        <f>'预评函-3'!C4</f>
        <v>22165.75</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3087</v>
      </c>
      <c r="C17" s="2014"/>
    </row>
    <row r="18" spans="1:3">
      <c r="A18" s="2013" t="s">
        <v>1763</v>
      </c>
      <c r="B18" s="2013" t="s">
        <v>3089</v>
      </c>
      <c r="C18" s="2014"/>
    </row>
    <row r="19" spans="1:3">
      <c r="A19" s="2013" t="s">
        <v>1764</v>
      </c>
      <c r="B19" s="2013" t="s">
        <v>3091</v>
      </c>
      <c r="C19" s="2014"/>
    </row>
    <row r="20" spans="1:3">
      <c r="A20" s="2013" t="s">
        <v>1765</v>
      </c>
      <c r="B20" s="2013" t="s">
        <v>3093</v>
      </c>
      <c r="C20" s="2014"/>
    </row>
    <row r="21" spans="1:3">
      <c r="A21" s="2013" t="s">
        <v>1766</v>
      </c>
      <c r="B21" s="2013" t="s">
        <v>3116</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1774</v>
      </c>
      <c r="B3" s="2035">
        <v>43633</v>
      </c>
      <c r="C3" s="2036" t="s">
        <v>1775</v>
      </c>
      <c r="D3" s="2035">
        <v>43633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3053</v>
      </c>
      <c r="C8" s="2055"/>
      <c r="D8" s="3041" t="s">
        <v>1781</v>
      </c>
      <c r="E8" s="2056" t="s">
        <v>3054</v>
      </c>
      <c r="F8" s="2057"/>
      <c r="G8" s="2025"/>
      <c r="H8" s="2025"/>
      <c r="I8" s="2025"/>
      <c r="J8" s="2041"/>
      <c r="K8" s="2042"/>
      <c r="L8" s="2027"/>
      <c r="M8" s="2027"/>
      <c r="N8" s="2028"/>
      <c r="O8" s="2029"/>
      <c r="P8" s="2028"/>
      <c r="Q8" s="2028"/>
      <c r="R8" s="2028"/>
    </row>
    <row r="9" spans="1:19" ht="18" customHeight="1" thickBot="1">
      <c r="A9" s="2039" t="s">
        <v>1782</v>
      </c>
      <c r="B9" s="2058" t="s">
        <v>3054</v>
      </c>
      <c r="C9" s="2059"/>
      <c r="D9" s="3042"/>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3056</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961">
        <v>56264</v>
      </c>
      <c r="F13" s="2961">
        <v>56264</v>
      </c>
      <c r="G13" s="2961">
        <v>56264</v>
      </c>
      <c r="H13" s="2961">
        <v>56264</v>
      </c>
      <c r="I13" s="1046"/>
      <c r="J13" s="2041"/>
      <c r="K13" s="2053"/>
      <c r="L13" s="2027"/>
      <c r="M13" s="2027"/>
      <c r="N13" s="2028"/>
      <c r="O13" s="2029"/>
      <c r="P13" s="2028"/>
      <c r="Q13" s="2028"/>
      <c r="R13" s="2028"/>
    </row>
    <row r="14" spans="1:19" ht="18" customHeight="1">
      <c r="A14" s="2076"/>
      <c r="B14" s="2077"/>
      <c r="C14" s="2078" t="s">
        <v>1795</v>
      </c>
      <c r="D14" s="1049"/>
      <c r="E14" s="1049">
        <v>40</v>
      </c>
      <c r="F14" s="1049">
        <v>40</v>
      </c>
      <c r="G14" s="1049">
        <v>40</v>
      </c>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34.6</v>
      </c>
      <c r="F15" s="1048">
        <f>IF(B12="出让",IF(F13="","",ROUNDDOWN(MIN((F13-$D$3)/365,F14),2)),F14)</f>
        <v>34.6</v>
      </c>
      <c r="G15" s="1048">
        <f>IF(B12="出让",IF(G13="","",ROUNDDOWN(MIN((G13-$D$3)/365,G14),2)),G14)</f>
        <v>34.6</v>
      </c>
      <c r="H15" s="1048">
        <f>IF(B12="出让",IF(H13="","",ROUNDDOWN(MIN((H13-$D$3)/365,H14),2)),H14)</f>
        <v>34.6</v>
      </c>
      <c r="I15" s="1048" t="str">
        <f>IF(B12="出让",IF(I13="","",ROUNDDOWN(MIN((I13-$D$3)/365,I14),2)),I14)</f>
        <v/>
      </c>
      <c r="J15" s="2041"/>
      <c r="K15" s="2082"/>
      <c r="L15" s="2083"/>
      <c r="M15" s="2083"/>
      <c r="N15" s="2084"/>
      <c r="O15" s="2083"/>
      <c r="P15" s="2084"/>
      <c r="Q15" s="2028"/>
      <c r="R15" s="2028"/>
    </row>
    <row r="16" spans="1:19" ht="30.75" customHeight="1">
      <c r="A16" s="2065" t="s">
        <v>1797</v>
      </c>
      <c r="B16" s="3048"/>
      <c r="C16" s="3049"/>
      <c r="D16" s="3050"/>
      <c r="E16" s="2085" t="s">
        <v>1798</v>
      </c>
      <c r="F16" s="3051"/>
      <c r="G16" s="3052"/>
      <c r="H16" s="3052"/>
      <c r="I16" s="3053"/>
      <c r="J16" s="2028"/>
      <c r="K16" s="2082"/>
      <c r="L16" s="2083"/>
      <c r="M16" s="2083"/>
      <c r="N16" s="2084"/>
      <c r="O16" s="2083"/>
      <c r="P16" s="2084"/>
      <c r="Q16" s="2028"/>
      <c r="R16" s="2028"/>
    </row>
    <row r="17" spans="1:22" ht="18" customHeight="1">
      <c r="A17" s="2086" t="s">
        <v>1799</v>
      </c>
      <c r="B17" s="2034" t="s">
        <v>1800</v>
      </c>
      <c r="C17" s="1053">
        <f>'数据-汇总表'!E3</f>
        <v>140932.81</v>
      </c>
      <c r="D17" s="2087" t="s">
        <v>1801</v>
      </c>
      <c r="E17" s="3054" t="s">
        <v>1802</v>
      </c>
      <c r="F17" s="3055"/>
      <c r="G17" s="3055"/>
      <c r="H17" s="3055"/>
      <c r="I17" s="3056"/>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22165.75</v>
      </c>
      <c r="D18" s="2090" t="s">
        <v>1801</v>
      </c>
      <c r="E18" s="3057" t="s">
        <v>1805</v>
      </c>
      <c r="F18" s="3058"/>
      <c r="G18" s="3058"/>
      <c r="H18" s="3058"/>
      <c r="I18" s="3059"/>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4" t="s">
        <v>1810</v>
      </c>
      <c r="C20" s="3045"/>
      <c r="D20" s="3046" t="s">
        <v>1811</v>
      </c>
      <c r="E20" s="3047"/>
      <c r="F20" s="2097" t="s">
        <v>1812</v>
      </c>
      <c r="G20" s="2041"/>
      <c r="H20" s="2041"/>
      <c r="I20" s="2041"/>
      <c r="J20" s="2041"/>
      <c r="K20" s="304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1" t="s">
        <v>1825</v>
      </c>
      <c r="B27" s="2062" t="s">
        <v>1826</v>
      </c>
      <c r="C27" s="2119" t="s">
        <v>3057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1"/>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1"/>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2"/>
      <c r="B30" s="2034" t="s">
        <v>1829</v>
      </c>
      <c r="C30" s="3033"/>
      <c r="D30" s="303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5" t="s">
        <v>1830</v>
      </c>
      <c r="B31" s="2126" t="s">
        <v>3058</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t="s">
        <v>3060</v>
      </c>
      <c r="C34" s="2133" t="s">
        <v>3059</v>
      </c>
      <c r="D34" s="2133" t="s">
        <v>3061</v>
      </c>
      <c r="E34" s="2133" t="s">
        <v>3062</v>
      </c>
      <c r="F34" s="2133" t="s">
        <v>3063</v>
      </c>
      <c r="G34" s="2133" t="s">
        <v>3064</v>
      </c>
      <c r="H34" s="2133" t="s">
        <v>3065</v>
      </c>
      <c r="I34" s="2041"/>
      <c r="J34" s="2041"/>
      <c r="K34" s="1794">
        <f>COUNTIF(B34:H34,"——")</f>
        <v>0</v>
      </c>
      <c r="L34" s="2074" t="s">
        <v>1832</v>
      </c>
      <c r="M34" s="2074" t="s">
        <v>1833</v>
      </c>
      <c r="N34" s="2074" t="s">
        <v>1834</v>
      </c>
      <c r="O34" s="2074" t="s">
        <v>1835</v>
      </c>
      <c r="P34" s="2074" t="s">
        <v>1836</v>
      </c>
      <c r="Q34" s="2074" t="s">
        <v>1837</v>
      </c>
      <c r="R34" s="2074" t="s">
        <v>1838</v>
      </c>
      <c r="S34" s="3030" t="s">
        <v>1839</v>
      </c>
      <c r="T34" s="2134" t="str">
        <f>NUMBERSTRING(7-K34,1)&amp;"通"</f>
        <v>七通</v>
      </c>
      <c r="U34" s="2028"/>
      <c r="V34" s="2028"/>
    </row>
    <row r="35" spans="1:22" ht="18" customHeight="1">
      <c r="A35" s="2135"/>
      <c r="B35" s="3037" t="s">
        <v>1840</v>
      </c>
      <c r="C35" s="3037"/>
      <c r="D35" s="3037"/>
      <c r="E35" s="3037"/>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0"/>
      <c r="T35" s="48" t="str">
        <f>IF(T34="一通",L35,IF(T34="二通",M35,IF(T34="三通",N35,IF(T34="四通",O35,IF(T34="五通",P35,IF(T34="六通",Q35,R35))))))</f>
        <v>通路、通电、通讯、通上水、通下水、通热、燃气</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t="s">
        <v>523</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t="s">
        <v>366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27541.175999999999</v>
      </c>
      <c r="B3" s="14">
        <f>IF(C3="否",G5-AT5,G5)</f>
        <v>175110.48</v>
      </c>
      <c r="C3" s="2168" t="s">
        <v>3070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175110.48</v>
      </c>
      <c r="H5" s="16">
        <f t="shared" ref="H5:AT5" si="0">SUM(H13:H656)</f>
        <v>123719.54999999999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1301.8900000000001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17213.260000000002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17049.010000000002</v>
      </c>
      <c r="AO5" s="16">
        <f t="shared" si="0"/>
        <v>0</v>
      </c>
      <c r="AP5" s="16">
        <f t="shared" si="0"/>
        <v>0</v>
      </c>
      <c r="AQ5" s="16">
        <f t="shared" si="0"/>
        <v>0</v>
      </c>
      <c r="AR5" s="16">
        <f t="shared" si="0"/>
        <v>0</v>
      </c>
      <c r="AS5" s="16">
        <f t="shared" si="0"/>
        <v>0</v>
      </c>
      <c r="AT5" s="16">
        <f t="shared" si="0"/>
        <v>34177.67</v>
      </c>
      <c r="AU5" s="1801"/>
      <c r="AV5" s="15" t="s">
        <v>1875</v>
      </c>
      <c r="AW5" s="1802"/>
      <c r="AX5" s="1802"/>
      <c r="AY5" s="17" t="s">
        <v>3</v>
      </c>
      <c r="AZ5" s="18">
        <f t="shared" ref="AZ5:BT5" si="1">SUM(AZ13:AZ656)</f>
        <v>140932.81</v>
      </c>
      <c r="BA5" s="18">
        <f t="shared" si="1"/>
        <v>123719.54999999999</v>
      </c>
      <c r="BB5" s="18">
        <f t="shared" si="1"/>
        <v>53816.27</v>
      </c>
      <c r="BC5" s="18">
        <f t="shared" si="1"/>
        <v>16827.990000000002</v>
      </c>
      <c r="BD5" s="18">
        <f t="shared" si="1"/>
        <v>39093.74</v>
      </c>
      <c r="BE5" s="18">
        <f t="shared" si="1"/>
        <v>9459.14</v>
      </c>
      <c r="BF5" s="18">
        <f t="shared" si="1"/>
        <v>3220.52</v>
      </c>
      <c r="BG5" s="18">
        <f t="shared" si="1"/>
        <v>1301.8900000000001</v>
      </c>
      <c r="BH5" s="18">
        <f t="shared" si="1"/>
        <v>0</v>
      </c>
      <c r="BI5" s="18">
        <f t="shared" si="1"/>
        <v>0</v>
      </c>
      <c r="BJ5" s="18">
        <f t="shared" si="1"/>
        <v>0</v>
      </c>
      <c r="BK5" s="18">
        <f t="shared" si="1"/>
        <v>0</v>
      </c>
      <c r="BL5" s="18">
        <f t="shared" si="1"/>
        <v>17213.260000000002</v>
      </c>
      <c r="BM5" s="18">
        <f t="shared" si="1"/>
        <v>0</v>
      </c>
      <c r="BN5" s="18">
        <f t="shared" si="1"/>
        <v>0</v>
      </c>
      <c r="BO5" s="18">
        <f t="shared" si="1"/>
        <v>0</v>
      </c>
      <c r="BP5" s="18">
        <f t="shared" si="1"/>
        <v>0</v>
      </c>
      <c r="BQ5" s="18">
        <f t="shared" si="1"/>
        <v>164.25</v>
      </c>
      <c r="BR5" s="18">
        <f t="shared" si="1"/>
        <v>17049.010000000002</v>
      </c>
      <c r="BS5" s="18">
        <f t="shared" si="1"/>
        <v>0</v>
      </c>
      <c r="BT5" s="19">
        <f t="shared" si="1"/>
        <v>0</v>
      </c>
    </row>
    <row r="6" spans="1:72" s="2177" customFormat="1" ht="12.75">
      <c r="A6" s="15" t="s">
        <v>1876</v>
      </c>
      <c r="B6" s="2174"/>
      <c r="C6" s="2174"/>
      <c r="D6" s="2175"/>
      <c r="E6" s="16">
        <f>H6+AC6+AT6</f>
        <v>27541.17</v>
      </c>
      <c r="F6" s="16" t="s">
        <v>1</v>
      </c>
      <c r="G6" s="16" t="s">
        <v>2</v>
      </c>
      <c r="H6" s="20">
        <f>SUMIF(I$12:AB$12,"总值",I6:AB6)</f>
        <v>19458.47</v>
      </c>
      <c r="I6" s="16">
        <f t="shared" ref="I6:AB6" si="2">ROUND($A$3*I5/$B$3,2)</f>
        <v>8464.16</v>
      </c>
      <c r="J6" s="16">
        <f t="shared" si="2"/>
        <v>0</v>
      </c>
      <c r="K6" s="16">
        <f t="shared" si="2"/>
        <v>2646.69</v>
      </c>
      <c r="L6" s="16">
        <f t="shared" si="2"/>
        <v>0</v>
      </c>
      <c r="M6" s="16">
        <f t="shared" si="2"/>
        <v>6148.62</v>
      </c>
      <c r="N6" s="16">
        <f t="shared" si="2"/>
        <v>0</v>
      </c>
      <c r="O6" s="16">
        <f t="shared" si="2"/>
        <v>1487.72</v>
      </c>
      <c r="P6" s="16">
        <f t="shared" si="2"/>
        <v>0</v>
      </c>
      <c r="Q6" s="16">
        <f t="shared" si="2"/>
        <v>506.52</v>
      </c>
      <c r="R6" s="16">
        <f t="shared" si="2"/>
        <v>0</v>
      </c>
      <c r="S6" s="16">
        <f t="shared" si="2"/>
        <v>204.76</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2707.2799999999997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25.83</v>
      </c>
      <c r="AM6" s="16">
        <f t="shared" si="3"/>
        <v>0</v>
      </c>
      <c r="AN6" s="16">
        <f t="shared" si="3"/>
        <v>2681.45</v>
      </c>
      <c r="AO6" s="16">
        <f t="shared" si="3"/>
        <v>0</v>
      </c>
      <c r="AP6" s="16">
        <f t="shared" si="3"/>
        <v>0</v>
      </c>
      <c r="AQ6" s="16">
        <f t="shared" si="3"/>
        <v>0</v>
      </c>
      <c r="AR6" s="16">
        <f t="shared" si="3"/>
        <v>0</v>
      </c>
      <c r="AS6" s="16">
        <f t="shared" si="3"/>
        <v>0</v>
      </c>
      <c r="AT6" s="20">
        <f>IF(C3="是",ROUND($A$3*AT5/$B$3,2),0)</f>
        <v>5375.42</v>
      </c>
      <c r="AU6" s="2176"/>
      <c r="AV6" s="15" t="s">
        <v>1876</v>
      </c>
      <c r="AW6" s="2174"/>
      <c r="AX6" s="2174"/>
      <c r="AY6" s="21">
        <f>IF(AY3&gt;0,AY3,ROUND($A$3*AZ5/$B$3,2))</f>
        <v>22165.75</v>
      </c>
      <c r="AZ6" s="16" t="s">
        <v>3</v>
      </c>
      <c r="BA6" s="16">
        <f>ROUND($AY$6*BA5/$AZ$5,2)</f>
        <v>19458.47</v>
      </c>
      <c r="BB6" s="16">
        <f>ROUND($AY$6*BB5/$AZ$5,2)</f>
        <v>8464.16</v>
      </c>
      <c r="BC6" s="16">
        <f t="shared" ref="BC6:BH6" si="4">ROUND($AY$6*BC5/$AZ$5,2)</f>
        <v>2646.69</v>
      </c>
      <c r="BD6" s="16">
        <f t="shared" si="4"/>
        <v>6148.62</v>
      </c>
      <c r="BE6" s="16">
        <f t="shared" si="4"/>
        <v>1487.72</v>
      </c>
      <c r="BF6" s="16">
        <f t="shared" si="4"/>
        <v>506.52</v>
      </c>
      <c r="BG6" s="16">
        <f t="shared" si="4"/>
        <v>204.76</v>
      </c>
      <c r="BH6" s="16">
        <f t="shared" si="4"/>
        <v>0</v>
      </c>
      <c r="BI6" s="16">
        <f t="shared" ref="BI6:BT6" si="5">ROUND($AY$6*BI5/$AZ$5,2)</f>
        <v>0</v>
      </c>
      <c r="BJ6" s="16">
        <f t="shared" si="5"/>
        <v>0</v>
      </c>
      <c r="BK6" s="16">
        <f t="shared" si="5"/>
        <v>0</v>
      </c>
      <c r="BL6" s="16">
        <f t="shared" si="5"/>
        <v>2707.28</v>
      </c>
      <c r="BM6" s="16">
        <f t="shared" si="5"/>
        <v>0</v>
      </c>
      <c r="BN6" s="16">
        <f t="shared" si="5"/>
        <v>0</v>
      </c>
      <c r="BO6" s="16">
        <f t="shared" si="5"/>
        <v>0</v>
      </c>
      <c r="BP6" s="16">
        <f t="shared" si="5"/>
        <v>0</v>
      </c>
      <c r="BQ6" s="16">
        <f t="shared" si="5"/>
        <v>25.83</v>
      </c>
      <c r="BR6" s="16">
        <f t="shared" si="5"/>
        <v>2681.45</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0"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3071</v>
      </c>
      <c r="J9" s="980"/>
      <c r="K9" s="2191" t="s">
        <v>3071</v>
      </c>
      <c r="L9" s="980"/>
      <c r="M9" s="2191" t="s">
        <v>3071</v>
      </c>
      <c r="N9" s="980"/>
      <c r="O9" s="2191" t="s">
        <v>3073</v>
      </c>
      <c r="P9" s="980"/>
      <c r="Q9" s="2191" t="s">
        <v>3073</v>
      </c>
      <c r="R9" s="980"/>
      <c r="S9" s="2191" t="s">
        <v>3073</v>
      </c>
      <c r="T9" s="980"/>
      <c r="U9" s="2191"/>
      <c r="V9" s="980"/>
      <c r="W9" s="2191"/>
      <c r="X9" s="2192"/>
      <c r="Y9" s="2191"/>
      <c r="Z9" s="980"/>
      <c r="AA9" s="2191"/>
      <c r="AB9" s="980"/>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1373</v>
      </c>
      <c r="L10" s="980"/>
      <c r="M10" s="2197" t="s">
        <v>1373</v>
      </c>
      <c r="N10" s="980"/>
      <c r="O10" s="2197" t="s">
        <v>1373</v>
      </c>
      <c r="P10" s="980"/>
      <c r="Q10" s="2197" t="s">
        <v>3074</v>
      </c>
      <c r="R10" s="980"/>
      <c r="S10" s="2197" t="s">
        <v>3119</v>
      </c>
      <c r="T10" s="980"/>
      <c r="U10" s="2197"/>
      <c r="V10" s="980"/>
      <c r="W10" s="2197"/>
      <c r="X10" s="980"/>
      <c r="Y10" s="2197"/>
      <c r="Z10" s="980"/>
      <c r="AA10" s="2197"/>
      <c r="AB10" s="980"/>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t="s">
        <v>3072</v>
      </c>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商业</v>
      </c>
      <c r="BD11" s="2187" t="str">
        <f>M10</f>
        <v>商业</v>
      </c>
      <c r="BE11" s="2187" t="str">
        <f>O10</f>
        <v>商业</v>
      </c>
      <c r="BF11" s="2187" t="str">
        <f>Q10</f>
        <v>车库</v>
      </c>
      <c r="BG11" s="2187" t="str">
        <f>S10</f>
        <v>仓储</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t="str">
        <f>K11</f>
        <v>公寓</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2" t="s">
        <v>3066</v>
      </c>
      <c r="D13" s="2213" t="s">
        <v>3070</v>
      </c>
      <c r="E13" s="16">
        <f>IF($C$3="是",ROUND($A$3*G13/$B$3,2),ROUND($A$3*(G13-AT13)/$B$3,2))</f>
        <v>15467.64</v>
      </c>
      <c r="F13" s="32"/>
      <c r="G13" s="33">
        <f>H13+AC13+AT13</f>
        <v>98345.31</v>
      </c>
      <c r="H13" s="20">
        <f>SUMIF(I$12:AB$12,"总值",I13:AB13)</f>
        <v>53816.27</v>
      </c>
      <c r="I13" s="2214">
        <v>53816.27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10351.370000000001</v>
      </c>
      <c r="AD13" s="2215"/>
      <c r="AE13" s="2215"/>
      <c r="AF13" s="2215"/>
      <c r="AG13" s="2215"/>
      <c r="AH13" s="2215"/>
      <c r="AI13" s="2215"/>
      <c r="AJ13" s="2215"/>
      <c r="AK13" s="2215"/>
      <c r="AL13" s="2215">
        <v>164.25</v>
      </c>
      <c r="AM13" s="2215"/>
      <c r="AN13" s="2215">
        <v>10187.120000000001</v>
      </c>
      <c r="AO13" s="2215"/>
      <c r="AP13" s="2215"/>
      <c r="AQ13" s="2215"/>
      <c r="AR13" s="2215"/>
      <c r="AS13" s="2215"/>
      <c r="AT13" s="2963">
        <v>34177.67</v>
      </c>
      <c r="AU13" s="2217"/>
      <c r="AV13" s="11">
        <f t="shared" ref="AV13:AX17" si="6">A13</f>
        <v>0</v>
      </c>
      <c r="AW13" s="11">
        <f t="shared" si="6"/>
        <v>0</v>
      </c>
      <c r="AX13" s="11" t="str">
        <f t="shared" si="6"/>
        <v>办公</v>
      </c>
      <c r="AY13" s="1805">
        <f>ROUND($AY$6*AZ13/$AZ$5,2)</f>
        <v>10092.209999999999</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7" customFormat="1" ht="12.75">
      <c r="A14" s="1271"/>
      <c r="B14" s="1271"/>
      <c r="C14" s="2962" t="s">
        <v>3067</v>
      </c>
      <c r="D14" s="2213" t="s">
        <v>3070</v>
      </c>
      <c r="E14" s="16">
        <f>IF($C$3="是",ROUND($A$3*G14/$B$3,2),ROUND($A$3*(G14-AT14)/$B$3,2))</f>
        <v>2646.69</v>
      </c>
      <c r="F14" s="32"/>
      <c r="G14" s="33">
        <f>H14+AC14+AT14</f>
        <v>16827.990000000002</v>
      </c>
      <c r="H14" s="20">
        <f>SUMIF(I$12:AB$12,"总值",I14:AB14)</f>
        <v>16827.990000000002</v>
      </c>
      <c r="I14" s="2214"/>
      <c r="J14" s="2214"/>
      <c r="K14" s="2214">
        <v>16827.990000000002</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酒店</v>
      </c>
      <c r="AY14" s="1805">
        <f>ROUND($AY$6*AZ14/$AZ$5,2)</f>
        <v>2646.69</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962" t="s">
        <v>3068</v>
      </c>
      <c r="D15" s="2213" t="s">
        <v>3070</v>
      </c>
      <c r="E15" s="16">
        <f>IF($C$3="是",ROUND($A$3*G15/$B$3,2),ROUND($A$3*(G15-AT15)/$B$3,2))</f>
        <v>7841.1</v>
      </c>
      <c r="F15" s="32"/>
      <c r="G15" s="33">
        <f>H15+AC15+AT15</f>
        <v>49854.77</v>
      </c>
      <c r="H15" s="20">
        <f>SUMIF(I$12:AB$12,"总值",I15:AB15)</f>
        <v>48552.88</v>
      </c>
      <c r="I15" s="2214"/>
      <c r="J15" s="2214"/>
      <c r="K15" s="2214"/>
      <c r="L15" s="2214"/>
      <c r="M15" s="2214">
        <v>39093.74</v>
      </c>
      <c r="N15" s="2214"/>
      <c r="O15" s="2214">
        <v>9459.14</v>
      </c>
      <c r="P15" s="2214"/>
      <c r="Q15" s="2214"/>
      <c r="R15" s="2214"/>
      <c r="S15" s="2214"/>
      <c r="T15" s="2214"/>
      <c r="U15" s="2214"/>
      <c r="V15" s="2214"/>
      <c r="W15" s="2214"/>
      <c r="X15" s="2214"/>
      <c r="Y15" s="2214"/>
      <c r="Z15" s="2214"/>
      <c r="AA15" s="2214"/>
      <c r="AB15" s="2214"/>
      <c r="AC15" s="16">
        <f>SUMIF(AD$12:AS$12,"总值",AD15:AS15)</f>
        <v>1301.8900000000001</v>
      </c>
      <c r="AD15" s="2215"/>
      <c r="AE15" s="2215"/>
      <c r="AF15" s="2215"/>
      <c r="AG15" s="2215"/>
      <c r="AH15" s="2215"/>
      <c r="AI15" s="2215"/>
      <c r="AJ15" s="2215"/>
      <c r="AK15" s="2215"/>
      <c r="AL15" s="2215"/>
      <c r="AM15" s="2215"/>
      <c r="AN15" s="2215">
        <v>1301.8900000000001</v>
      </c>
      <c r="AO15" s="2215"/>
      <c r="AP15" s="2215"/>
      <c r="AQ15" s="2215"/>
      <c r="AR15" s="2215"/>
      <c r="AS15" s="2215"/>
      <c r="AT15" s="2216"/>
      <c r="AU15" s="2217"/>
      <c r="AV15" s="11">
        <f t="shared" si="6"/>
        <v>0</v>
      </c>
      <c r="AW15" s="11">
        <f t="shared" si="6"/>
        <v>0</v>
      </c>
      <c r="AX15" s="11" t="str">
        <f t="shared" si="6"/>
        <v>商业</v>
      </c>
      <c r="AY15" s="1805">
        <f>ROUND($AY$6*AZ15/$AZ$5,2)</f>
        <v>7841.1</v>
      </c>
      <c r="AZ15" s="16">
        <f>BA15+BL15</f>
        <v>49854.77</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1301.8900000000001</v>
      </c>
      <c r="BM15" s="16">
        <f>IF($D15="是",AD15-AE15,0)</f>
        <v>0</v>
      </c>
      <c r="BN15" s="16">
        <f>IF($D15="是",AF15-AG15,0)</f>
        <v>0</v>
      </c>
      <c r="BO15" s="16">
        <f>IF($D15="是",AH15-AI15,0)</f>
        <v>0</v>
      </c>
      <c r="BP15" s="16">
        <f>IF($D15="是",AJ15-AK15,0)</f>
        <v>0</v>
      </c>
      <c r="BQ15" s="16">
        <f>IF($D15="是",AL15-AM15,0)</f>
        <v>0</v>
      </c>
      <c r="BR15" s="16">
        <f>IF($D15="是",AN15-AO15,0)</f>
        <v>1301.8900000000001</v>
      </c>
      <c r="BS15" s="16">
        <f>IF($D15="是",AP15-AQ15,0)</f>
        <v>0</v>
      </c>
      <c r="BT15" s="22">
        <f>IF($D15="是",AR15-AS15,0)</f>
        <v>0</v>
      </c>
    </row>
    <row r="16" spans="1:72" s="2167" customFormat="1" ht="12.75">
      <c r="A16" s="1271"/>
      <c r="B16" s="1271"/>
      <c r="C16" s="2962" t="s">
        <v>3069</v>
      </c>
      <c r="D16" s="2213" t="s">
        <v>3070</v>
      </c>
      <c r="E16" s="16">
        <f>IF($C$3="是",ROUND($A$3*G16/$B$3,2),ROUND($A$3*(G16-AT16)/$B$3,2))</f>
        <v>1380.99</v>
      </c>
      <c r="F16" s="32"/>
      <c r="G16" s="33">
        <f>H16+AC16+AT16</f>
        <v>8780.52</v>
      </c>
      <c r="H16" s="20">
        <f>SUMIF(I$12:AB$12,"总值",I16:AB16)</f>
        <v>3220.52</v>
      </c>
      <c r="I16" s="2214"/>
      <c r="J16" s="2214"/>
      <c r="K16" s="2214"/>
      <c r="L16" s="2214"/>
      <c r="M16" s="2214"/>
      <c r="N16" s="2214"/>
      <c r="O16" s="2214"/>
      <c r="P16" s="2214"/>
      <c r="Q16" s="2214">
        <v>3220.52</v>
      </c>
      <c r="R16" s="2214"/>
      <c r="S16" s="2214"/>
      <c r="T16" s="2214"/>
      <c r="U16" s="2214"/>
      <c r="V16" s="2214"/>
      <c r="W16" s="2214"/>
      <c r="X16" s="2214"/>
      <c r="Y16" s="2214"/>
      <c r="Z16" s="2214"/>
      <c r="AA16" s="2214"/>
      <c r="AB16" s="2214"/>
      <c r="AC16" s="16">
        <f>SUMIF(AD$12:AS$12,"总值",AD16:AS16)</f>
        <v>5560</v>
      </c>
      <c r="AD16" s="2215"/>
      <c r="AE16" s="2215"/>
      <c r="AF16" s="2215"/>
      <c r="AG16" s="2215"/>
      <c r="AH16" s="2215"/>
      <c r="AI16" s="2215"/>
      <c r="AJ16" s="2215"/>
      <c r="AK16" s="2215"/>
      <c r="AL16" s="2215"/>
      <c r="AM16" s="2215"/>
      <c r="AN16" s="2215">
        <v>5560</v>
      </c>
      <c r="AO16" s="2215"/>
      <c r="AP16" s="2215"/>
      <c r="AQ16" s="2215"/>
      <c r="AR16" s="2215"/>
      <c r="AS16" s="2215"/>
      <c r="AT16" s="2216"/>
      <c r="AU16" s="2217"/>
      <c r="AV16" s="11">
        <f t="shared" si="6"/>
        <v>0</v>
      </c>
      <c r="AW16" s="11">
        <f t="shared" si="6"/>
        <v>0</v>
      </c>
      <c r="AX16" s="11" t="str">
        <f t="shared" si="6"/>
        <v>汽车车库</v>
      </c>
      <c r="AY16" s="1805">
        <f>ROUND($AY$6*AZ16/$AZ$5,2)</f>
        <v>1380.99</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7" customFormat="1" ht="12.75">
      <c r="A17" s="1271"/>
      <c r="B17" s="1271"/>
      <c r="C17" s="2962" t="s">
        <v>3118</v>
      </c>
      <c r="D17" s="2213" t="s">
        <v>3070</v>
      </c>
      <c r="E17" s="16">
        <f>IF($C$3="是",ROUND($A$3*G17/$B$3,2),ROUND($A$3*(G17-AT17)/$B$3,2))</f>
        <v>204.76</v>
      </c>
      <c r="F17" s="32"/>
      <c r="G17" s="33">
        <f>H17+AC17+AT17</f>
        <v>1301.8900000000001</v>
      </c>
      <c r="H17" s="20">
        <f>SUMIF(I$12:AB$12,"总值",I17:AB17)</f>
        <v>1301.8900000000001</v>
      </c>
      <c r="I17" s="2214"/>
      <c r="J17" s="2214"/>
      <c r="K17" s="2214"/>
      <c r="L17" s="2214"/>
      <c r="M17" s="2214"/>
      <c r="N17" s="2214"/>
      <c r="O17" s="2214"/>
      <c r="P17" s="2214"/>
      <c r="Q17" s="2214"/>
      <c r="R17" s="2214"/>
      <c r="S17" s="2214">
        <v>1301.8900000000001</v>
      </c>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库房</v>
      </c>
      <c r="AY17" s="1805">
        <f>ROUND($AY$6*AZ17/$AZ$5,2)</f>
        <v>204.76</v>
      </c>
      <c r="AZ17" s="16">
        <f>BA17+BL17</f>
        <v>1301.8900000000001</v>
      </c>
      <c r="BA17" s="16">
        <f>SUM(BB17:BK17)</f>
        <v>1301.8900000000001</v>
      </c>
      <c r="BB17" s="16">
        <f>IF($D17="是",I17-J17,0)</f>
        <v>0</v>
      </c>
      <c r="BC17" s="16">
        <f>IF($D17="是",K17-L17,0)</f>
        <v>0</v>
      </c>
      <c r="BD17" s="16">
        <f>IF($D17="是",M17-N17,0)</f>
        <v>0</v>
      </c>
      <c r="BE17" s="16">
        <f>IF($D17="是",O17-P17,0)</f>
        <v>0</v>
      </c>
      <c r="BF17" s="16">
        <f>IF($D17="是",Q17-R17,0)</f>
        <v>0</v>
      </c>
      <c r="BG17" s="16">
        <f>IF($D17="是",S17-T17,0)</f>
        <v>1301.8900000000001</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5" sqref="J3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1"/>
      <c r="C1" s="1391"/>
      <c r="D1" s="1391"/>
      <c r="E1" s="1391"/>
      <c r="F1" s="1391"/>
      <c r="G1" s="1391"/>
      <c r="H1" s="1391"/>
      <c r="I1" s="1391"/>
      <c r="J1" s="1391"/>
      <c r="K1" s="1391"/>
      <c r="L1" s="1391"/>
      <c r="M1" s="1391"/>
      <c r="N1" s="1391"/>
      <c r="O1" s="1391"/>
      <c r="P1" s="1391"/>
    </row>
    <row r="2" spans="1:16" ht="15">
      <c r="A2" s="3071" t="s">
        <v>1935</v>
      </c>
      <c r="B2" s="3071"/>
      <c r="C2" s="3071"/>
      <c r="D2" s="966" t="s">
        <v>1911</v>
      </c>
      <c r="E2" s="2227" t="s">
        <v>1912</v>
      </c>
      <c r="F2" s="1391"/>
      <c r="G2" s="2228"/>
      <c r="H2" s="2229"/>
      <c r="I2" s="2230" t="s">
        <v>1936</v>
      </c>
      <c r="J2" s="1391"/>
      <c r="K2" s="1391"/>
      <c r="L2" s="1391"/>
      <c r="M2" s="1391"/>
      <c r="N2" s="1426"/>
      <c r="O2" s="1391"/>
      <c r="P2" s="1391"/>
    </row>
    <row r="3" spans="1:16" ht="15.75" thickBot="1">
      <c r="A3" s="3072" t="s">
        <v>1909</v>
      </c>
      <c r="B3" s="3072"/>
      <c r="C3" s="3072"/>
      <c r="D3" s="46">
        <f>'数据-基础表'!AY6</f>
        <v>22165.75</v>
      </c>
      <c r="E3" s="46">
        <f>'数据-基础表'!AZ5</f>
        <v>140932.81</v>
      </c>
      <c r="F3" s="1391"/>
      <c r="G3" s="1398"/>
      <c r="H3" s="1246" t="s">
        <v>1910</v>
      </c>
      <c r="I3" s="55">
        <f>ROUND('数据-基础表'!B3/'数据-基础表'!A3,2)</f>
        <v>6.36</v>
      </c>
      <c r="J3" s="1391"/>
      <c r="K3" s="1391"/>
      <c r="L3" s="1391"/>
      <c r="M3" s="1391"/>
      <c r="N3" s="1426"/>
      <c r="O3" s="1391"/>
      <c r="P3" s="1391"/>
    </row>
    <row r="4" spans="1:16" ht="15">
      <c r="A4" s="3073"/>
      <c r="B4" s="3074"/>
      <c r="C4" s="3075"/>
      <c r="D4" s="2231" t="s">
        <v>1911</v>
      </c>
      <c r="E4" s="2232" t="s">
        <v>1912</v>
      </c>
      <c r="F4" s="1391"/>
      <c r="G4" s="2233" t="s">
        <v>1937</v>
      </c>
      <c r="H4" s="1246" t="s">
        <v>1917</v>
      </c>
      <c r="I4" s="55">
        <f>ROUND(SUMIF('数据-基础表'!I9:AS9,"地上",'数据-基础表'!I5:AS5)/'数据-基础表'!A3,2)</f>
        <v>3.99</v>
      </c>
      <c r="J4" s="1391"/>
      <c r="K4" s="1391"/>
      <c r="L4" s="1391"/>
      <c r="M4" s="1391"/>
      <c r="N4" s="1426"/>
      <c r="O4" s="1391"/>
      <c r="P4" s="1391"/>
    </row>
    <row r="5" spans="1:16">
      <c r="A5" s="47" t="s">
        <v>1913</v>
      </c>
      <c r="B5" s="3076" t="s">
        <v>1914</v>
      </c>
      <c r="C5" s="3076"/>
      <c r="D5" s="48">
        <f>ROUND($D$3*E5/$E$3,2)</f>
        <v>0</v>
      </c>
      <c r="E5" s="49">
        <f>SUMIF('数据-基础表'!$11:$11,"住宅",'数据-基础表'!$5:$5)</f>
        <v>0</v>
      </c>
      <c r="F5" s="1391"/>
      <c r="G5" s="1398"/>
      <c r="H5" s="1246" t="s">
        <v>1910</v>
      </c>
      <c r="I5" s="55">
        <f>ROUND(E31/D31,2)</f>
        <v>6.36</v>
      </c>
      <c r="J5" s="1391"/>
      <c r="K5" s="1391"/>
      <c r="L5" s="1391"/>
      <c r="M5" s="1391"/>
      <c r="N5" s="1391"/>
      <c r="O5" s="1391"/>
      <c r="P5" s="1391"/>
    </row>
    <row r="6" spans="1:16" ht="15" thickBot="1">
      <c r="A6" s="2234"/>
      <c r="B6" s="3076" t="s">
        <v>1915</v>
      </c>
      <c r="C6" s="3076"/>
      <c r="D6" s="48">
        <f>ROUND($D$3*E6/$E$3,2)</f>
        <v>22165.75</v>
      </c>
      <c r="E6" s="49">
        <f>E3-E5</f>
        <v>140932.81</v>
      </c>
      <c r="F6" s="1391"/>
      <c r="G6" s="2235" t="s">
        <v>1916</v>
      </c>
      <c r="H6" s="1398" t="s">
        <v>1917</v>
      </c>
      <c r="I6" s="938">
        <f>ROUND(F31/D31,2)</f>
        <v>4.96</v>
      </c>
      <c r="J6" s="1391"/>
      <c r="K6" s="1391"/>
      <c r="L6" s="1391"/>
      <c r="M6" s="1391"/>
      <c r="N6" s="1391"/>
      <c r="O6" s="1391"/>
      <c r="P6" s="1391"/>
    </row>
    <row r="7" spans="1:16" ht="15">
      <c r="A7" s="3068"/>
      <c r="B7" s="3069"/>
      <c r="C7" s="3070"/>
      <c r="D7" s="2231" t="s">
        <v>1911</v>
      </c>
      <c r="E7" s="2236" t="s">
        <v>1918</v>
      </c>
      <c r="F7" s="1391"/>
      <c r="G7" s="2228" t="s">
        <v>1919</v>
      </c>
      <c r="H7" s="64"/>
      <c r="I7" s="420"/>
      <c r="J7" s="1391"/>
      <c r="K7" s="1391"/>
      <c r="L7" s="1391"/>
      <c r="M7" s="1391"/>
      <c r="N7" s="1391"/>
      <c r="O7" s="1391"/>
      <c r="P7" s="1391"/>
    </row>
    <row r="8" spans="1:16">
      <c r="A8" s="47" t="s">
        <v>1920</v>
      </c>
      <c r="B8" s="50" t="s">
        <v>1921</v>
      </c>
      <c r="C8" s="48" t="s">
        <v>1922</v>
      </c>
      <c r="D8" s="48">
        <f t="shared" ref="D8:D15" si="0">ROUND($D$3*E8/$E$3,2)</f>
        <v>17259.47</v>
      </c>
      <c r="E8" s="51">
        <f>SUMIF('数据-基础表'!BB10:BK10,"地上",'数据-基础表'!BB5:BK5)</f>
        <v>109738</v>
      </c>
      <c r="F8" s="1391"/>
      <c r="G8" s="2237"/>
      <c r="H8" s="2237"/>
      <c r="I8" s="1391"/>
      <c r="J8" s="1391"/>
      <c r="K8" s="1391"/>
      <c r="L8" s="1391"/>
      <c r="M8" s="1391"/>
      <c r="N8" s="1391"/>
      <c r="O8" s="1391"/>
      <c r="P8" s="1391"/>
    </row>
    <row r="9" spans="1:16">
      <c r="A9" s="2238"/>
      <c r="B9" s="2239"/>
      <c r="C9" s="48" t="s">
        <v>1923</v>
      </c>
      <c r="D9" s="48">
        <f t="shared" si="0"/>
        <v>0</v>
      </c>
      <c r="E9" s="52">
        <v>0</v>
      </c>
      <c r="F9" s="1391"/>
      <c r="G9" s="2237"/>
      <c r="H9" s="2237"/>
      <c r="I9" s="1391"/>
      <c r="J9" s="1391"/>
      <c r="K9" s="1391"/>
      <c r="L9" s="1391"/>
      <c r="M9" s="1391"/>
      <c r="N9" s="1391"/>
      <c r="O9" s="1391"/>
      <c r="P9" s="1391"/>
    </row>
    <row r="10" spans="1:16">
      <c r="A10" s="2238"/>
      <c r="B10" s="2239"/>
      <c r="C10" s="48" t="s">
        <v>1932</v>
      </c>
      <c r="D10" s="48">
        <f t="shared" si="0"/>
        <v>1487.72</v>
      </c>
      <c r="E10" s="51">
        <f>SUMPRODUCT(('数据-基础表'!BB10:BK10="地下")*('数据-基础表'!BB11:BK11="商业")*('数据-基础表'!BB5:BK5))</f>
        <v>9459.14</v>
      </c>
      <c r="F10" s="1391"/>
      <c r="G10" s="2237"/>
      <c r="H10" s="2237"/>
      <c r="I10" s="1391"/>
      <c r="J10" s="1391"/>
      <c r="K10" s="1391"/>
      <c r="L10" s="1391"/>
      <c r="M10" s="1391"/>
      <c r="N10" s="1391"/>
      <c r="O10" s="1391"/>
      <c r="P10" s="1391"/>
    </row>
    <row r="11" spans="1:16">
      <c r="A11" s="2238"/>
      <c r="B11" s="2239"/>
      <c r="C11" s="48" t="s">
        <v>1924</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1925</v>
      </c>
      <c r="D12" s="48">
        <f t="shared" si="0"/>
        <v>204.76</v>
      </c>
      <c r="E12" s="51">
        <f>SUMPRODUCT(('数据-基础表'!BB10:BK10="地下")*('数据-基础表'!BB11:BK11="仓储")*('数据-基础表'!BB5:BK5))</f>
        <v>1301.8900000000001</v>
      </c>
      <c r="F12" s="1391"/>
      <c r="G12" s="2237"/>
      <c r="H12" s="2237"/>
      <c r="I12" s="1391"/>
      <c r="J12" s="1391"/>
      <c r="K12" s="1391"/>
      <c r="L12" s="1391"/>
      <c r="M12" s="1391"/>
      <c r="N12" s="1391"/>
      <c r="O12" s="1391"/>
      <c r="P12" s="1391"/>
    </row>
    <row r="13" spans="1:16">
      <c r="A13" s="2238"/>
      <c r="B13" s="2239"/>
      <c r="C13" s="48" t="s">
        <v>1926</v>
      </c>
      <c r="D13" s="48">
        <f t="shared" si="0"/>
        <v>506.52</v>
      </c>
      <c r="E13" s="51">
        <f>SUMPRODUCT(('数据-基础表'!BB10:BK10="地下")*('数据-基础表'!BB11:BK11="车库")*('数据-基础表'!BB5:BK5))</f>
        <v>3220.52</v>
      </c>
      <c r="F13" s="1391"/>
      <c r="G13" s="2237"/>
      <c r="H13" s="2237"/>
      <c r="I13" s="1391"/>
      <c r="J13" s="1391"/>
      <c r="K13" s="1391"/>
      <c r="L13" s="1391"/>
      <c r="M13" s="1391"/>
      <c r="N13" s="1391"/>
      <c r="O13" s="1391"/>
      <c r="P13" s="1391"/>
    </row>
    <row r="14" spans="1:16">
      <c r="A14" s="2238"/>
      <c r="B14" s="2239"/>
      <c r="C14" s="48" t="s">
        <v>1938</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1933</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1927</v>
      </c>
      <c r="D16" s="50">
        <f>SUM(D8:D15)</f>
        <v>19458.47</v>
      </c>
      <c r="E16" s="53">
        <f>SUM(E8:E15)</f>
        <v>123719.55</v>
      </c>
      <c r="F16" s="1391"/>
      <c r="G16" s="2237"/>
      <c r="H16" s="2240" t="s">
        <v>1939</v>
      </c>
      <c r="I16" s="2241"/>
      <c r="J16" s="1391"/>
      <c r="K16" s="3065" t="s">
        <v>1939</v>
      </c>
      <c r="L16" s="3066"/>
      <c r="M16" s="3066"/>
      <c r="N16" s="3066"/>
      <c r="O16" s="3066"/>
      <c r="P16" s="3067"/>
    </row>
    <row r="17" spans="1:19" ht="15">
      <c r="A17" s="2242" t="s">
        <v>1940</v>
      </c>
      <c r="B17" s="2243" t="s">
        <v>1941</v>
      </c>
      <c r="C17" s="2244" t="s">
        <v>1942</v>
      </c>
      <c r="D17" s="2245" t="s">
        <v>1930</v>
      </c>
      <c r="E17" s="2246" t="s">
        <v>1931</v>
      </c>
      <c r="F17" s="2247"/>
      <c r="G17" s="2248"/>
      <c r="H17" s="2249" t="s">
        <v>1943</v>
      </c>
      <c r="I17" s="2250" t="s">
        <v>1928</v>
      </c>
      <c r="J17" s="1391"/>
      <c r="K17" s="3062" t="s">
        <v>1944</v>
      </c>
      <c r="L17" s="3063"/>
      <c r="M17" s="3064"/>
      <c r="N17" s="3062" t="s">
        <v>1945</v>
      </c>
      <c r="O17" s="3063"/>
      <c r="P17" s="3064"/>
      <c r="R17" s="2228" t="s">
        <v>1946</v>
      </c>
      <c r="S17" s="64"/>
    </row>
    <row r="18" spans="1:19" ht="15">
      <c r="A18" s="2238"/>
      <c r="B18" s="2251"/>
      <c r="C18" s="2252"/>
      <c r="D18" s="2253"/>
      <c r="E18" s="2254" t="s">
        <v>1947</v>
      </c>
      <c r="F18" s="2255" t="s">
        <v>1948</v>
      </c>
      <c r="G18" s="2256" t="s">
        <v>1949</v>
      </c>
      <c r="H18" s="1261" t="s">
        <v>1950</v>
      </c>
      <c r="I18" s="2257" t="s">
        <v>1951</v>
      </c>
      <c r="J18" s="1391"/>
      <c r="K18" s="1261" t="s">
        <v>1952</v>
      </c>
      <c r="L18" s="2258" t="s">
        <v>1953</v>
      </c>
      <c r="M18" s="1045" t="s">
        <v>1954</v>
      </c>
      <c r="N18" s="1261" t="s">
        <v>1952</v>
      </c>
      <c r="O18" s="2258" t="s">
        <v>1953</v>
      </c>
      <c r="P18" s="1045" t="s">
        <v>1954</v>
      </c>
      <c r="R18" s="1246" t="s">
        <v>1955</v>
      </c>
      <c r="S18" s="1246" t="s">
        <v>1956</v>
      </c>
    </row>
    <row r="19" spans="1:19">
      <c r="A19" s="2259"/>
      <c r="B19" s="50" t="s">
        <v>1929</v>
      </c>
      <c r="C19" s="2964" t="s">
        <v>3066</v>
      </c>
      <c r="D19" s="48">
        <f>ROUND($D$3*E19/$E$3,2)</f>
        <v>8464.16</v>
      </c>
      <c r="E19" s="56">
        <f t="shared" ref="E19:E26" si="1">SUM(F19:G19)</f>
        <v>53816.27</v>
      </c>
      <c r="F19" s="57">
        <f>'数据-基础表'!I13</f>
        <v>53816.27</v>
      </c>
      <c r="G19" s="58"/>
      <c r="H19" s="723">
        <f>ROUND($D$3*I19/$E$3,2)</f>
        <v>1177.6300000000001</v>
      </c>
      <c r="I19" s="51">
        <f t="shared" ref="I19:I26" si="2">IF($I$17="自定义",P19,M19)</f>
        <v>7487.53</v>
      </c>
      <c r="J19" s="1391"/>
      <c r="K19" s="1390">
        <f t="shared" ref="K19:K26" si="3">ROUND(E$28*E19/E$27,2)</f>
        <v>7487.53</v>
      </c>
      <c r="L19" s="1246">
        <f t="shared" ref="L19:L26" si="4">ROUND(IF(COUNTIF(C19,"*住宅*")&gt;0,E$29*E19/E$32,0),2)</f>
        <v>0</v>
      </c>
      <c r="M19" s="1402">
        <f>K19+L19</f>
        <v>7487.53</v>
      </c>
      <c r="N19" s="2260"/>
      <c r="O19" s="2261"/>
      <c r="P19" s="1402">
        <f>N19+O19</f>
        <v>0</v>
      </c>
      <c r="R19" s="1246">
        <f t="shared" ref="R19:S26" si="5">D19+H19</f>
        <v>9641.7900000000009</v>
      </c>
      <c r="S19" s="1247">
        <f t="shared" si="5"/>
        <v>61303.799999999996</v>
      </c>
    </row>
    <row r="20" spans="1:19">
      <c r="A20" s="2262"/>
      <c r="B20" s="50" t="s">
        <v>1957</v>
      </c>
      <c r="C20" s="2965" t="s">
        <v>3075</v>
      </c>
      <c r="D20" s="48">
        <f t="shared" ref="D20:D26" si="6">ROUND($D$3*E20/$E$3,2)</f>
        <v>2646.69</v>
      </c>
      <c r="E20" s="56">
        <f t="shared" si="1"/>
        <v>16827.990000000002</v>
      </c>
      <c r="F20" s="57">
        <f>'数据-基础表'!K14</f>
        <v>16827.990000000002</v>
      </c>
      <c r="G20" s="58"/>
      <c r="H20" s="723">
        <f t="shared" ref="H20:H26" si="7">ROUND($D$3*I20/$E$3,2)</f>
        <v>368.24</v>
      </c>
      <c r="I20" s="51">
        <f t="shared" si="2"/>
        <v>2341.3000000000002</v>
      </c>
      <c r="J20" s="1391"/>
      <c r="K20" s="1390">
        <f t="shared" si="3"/>
        <v>2341.3000000000002</v>
      </c>
      <c r="L20" s="1246">
        <f t="shared" si="4"/>
        <v>0</v>
      </c>
      <c r="M20" s="1402">
        <f t="shared" ref="M20:M26" si="8">K20+L20</f>
        <v>2341.3000000000002</v>
      </c>
      <c r="N20" s="2260"/>
      <c r="O20" s="2261"/>
      <c r="P20" s="1402">
        <f t="shared" ref="P20:P26" si="9">N20+O20</f>
        <v>0</v>
      </c>
      <c r="R20" s="1246">
        <f t="shared" si="5"/>
        <v>3014.9300000000003</v>
      </c>
      <c r="S20" s="1247">
        <f t="shared" si="5"/>
        <v>19169.29</v>
      </c>
    </row>
    <row r="21" spans="1:19">
      <c r="A21" s="2262"/>
      <c r="B21" s="50" t="s">
        <v>1957</v>
      </c>
      <c r="C21" s="2964" t="s">
        <v>3076</v>
      </c>
      <c r="D21" s="48">
        <f t="shared" si="6"/>
        <v>6148.62</v>
      </c>
      <c r="E21" s="56">
        <f t="shared" si="1"/>
        <v>39093.74</v>
      </c>
      <c r="F21" s="57">
        <f>'数据-基础表'!M15</f>
        <v>39093.74</v>
      </c>
      <c r="G21" s="58"/>
      <c r="H21" s="723">
        <f t="shared" si="7"/>
        <v>855.46</v>
      </c>
      <c r="I21" s="51">
        <f t="shared" si="2"/>
        <v>5439.16</v>
      </c>
      <c r="J21" s="1391"/>
      <c r="K21" s="1390">
        <f t="shared" si="3"/>
        <v>5439.16</v>
      </c>
      <c r="L21" s="1246">
        <f t="shared" si="4"/>
        <v>0</v>
      </c>
      <c r="M21" s="1402">
        <f t="shared" si="8"/>
        <v>5439.16</v>
      </c>
      <c r="N21" s="2260"/>
      <c r="O21" s="2261"/>
      <c r="P21" s="1402">
        <f t="shared" si="9"/>
        <v>0</v>
      </c>
      <c r="R21" s="1246">
        <f t="shared" si="5"/>
        <v>7004.08</v>
      </c>
      <c r="S21" s="1247">
        <f t="shared" si="5"/>
        <v>44532.899999999994</v>
      </c>
    </row>
    <row r="22" spans="1:19">
      <c r="A22" s="2262"/>
      <c r="B22" s="50" t="s">
        <v>1957</v>
      </c>
      <c r="C22" s="2966" t="s">
        <v>3077</v>
      </c>
      <c r="D22" s="48">
        <f t="shared" si="6"/>
        <v>1487.72</v>
      </c>
      <c r="E22" s="56">
        <f t="shared" si="1"/>
        <v>9459.14</v>
      </c>
      <c r="F22" s="61"/>
      <c r="G22" s="62">
        <f>'数据-基础表'!O15</f>
        <v>9459.14</v>
      </c>
      <c r="H22" s="723">
        <f t="shared" si="7"/>
        <v>206.99</v>
      </c>
      <c r="I22" s="51">
        <f t="shared" si="2"/>
        <v>1316.06</v>
      </c>
      <c r="J22" s="1391"/>
      <c r="K22" s="1390">
        <f t="shared" si="3"/>
        <v>1316.06</v>
      </c>
      <c r="L22" s="1246">
        <f t="shared" si="4"/>
        <v>0</v>
      </c>
      <c r="M22" s="1402">
        <f t="shared" si="8"/>
        <v>1316.06</v>
      </c>
      <c r="N22" s="2260"/>
      <c r="O22" s="2261"/>
      <c r="P22" s="1402">
        <f t="shared" si="9"/>
        <v>0</v>
      </c>
      <c r="R22" s="1246">
        <f t="shared" si="5"/>
        <v>1694.71</v>
      </c>
      <c r="S22" s="1247">
        <f t="shared" si="5"/>
        <v>10775.199999999999</v>
      </c>
    </row>
    <row r="23" spans="1:19">
      <c r="A23" s="2262"/>
      <c r="B23" s="50" t="s">
        <v>1957</v>
      </c>
      <c r="C23" s="2966" t="s">
        <v>3069</v>
      </c>
      <c r="D23" s="48">
        <f>ROUND($D$3*E23/$E$3,2)</f>
        <v>506.52</v>
      </c>
      <c r="E23" s="56">
        <f>SUM(F23:G23)</f>
        <v>3220.52</v>
      </c>
      <c r="F23" s="61"/>
      <c r="G23" s="62">
        <f>'数据-基础表'!Q16</f>
        <v>3220.52</v>
      </c>
      <c r="H23" s="723">
        <f>ROUND($D$3*I23/$E$3,2)</f>
        <v>70.47</v>
      </c>
      <c r="I23" s="51">
        <f t="shared" si="2"/>
        <v>448.08</v>
      </c>
      <c r="J23" s="1391"/>
      <c r="K23" s="1390">
        <f t="shared" si="3"/>
        <v>448.08</v>
      </c>
      <c r="L23" s="1246">
        <f t="shared" si="4"/>
        <v>0</v>
      </c>
      <c r="M23" s="1402">
        <f t="shared" si="8"/>
        <v>448.08</v>
      </c>
      <c r="N23" s="2260"/>
      <c r="O23" s="2261"/>
      <c r="P23" s="1402">
        <f t="shared" si="9"/>
        <v>0</v>
      </c>
      <c r="R23" s="1246">
        <f t="shared" si="5"/>
        <v>576.99</v>
      </c>
      <c r="S23" s="1247">
        <f t="shared" si="5"/>
        <v>3668.6</v>
      </c>
    </row>
    <row r="24" spans="1:19">
      <c r="A24" s="2262"/>
      <c r="B24" s="50" t="s">
        <v>1957</v>
      </c>
      <c r="C24" s="2962" t="s">
        <v>3118</v>
      </c>
      <c r="D24" s="48">
        <f>ROUND($D$3*E24/$E$3,2)</f>
        <v>204.76</v>
      </c>
      <c r="E24" s="56">
        <f>SUM(F24:G24)</f>
        <v>1301.8900000000001</v>
      </c>
      <c r="F24" s="61"/>
      <c r="G24" s="62">
        <f>'数据-基础表'!S17</f>
        <v>1301.8900000000001</v>
      </c>
      <c r="H24" s="723">
        <f>ROUND($D$3*I24/$E$3,2)</f>
        <v>28.49</v>
      </c>
      <c r="I24" s="51">
        <f t="shared" si="2"/>
        <v>181.13</v>
      </c>
      <c r="J24" s="1391"/>
      <c r="K24" s="1390">
        <f t="shared" si="3"/>
        <v>181.13</v>
      </c>
      <c r="L24" s="1246">
        <f t="shared" si="4"/>
        <v>0</v>
      </c>
      <c r="M24" s="1402">
        <f t="shared" si="8"/>
        <v>181.13</v>
      </c>
      <c r="N24" s="2260"/>
      <c r="O24" s="2261"/>
      <c r="P24" s="1402">
        <f t="shared" si="9"/>
        <v>0</v>
      </c>
      <c r="R24" s="1246">
        <f t="shared" si="5"/>
        <v>233.25</v>
      </c>
      <c r="S24" s="1247">
        <f t="shared" si="5"/>
        <v>1483.02</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19458.47</v>
      </c>
      <c r="E27" s="1393">
        <f>IF(SUM(E19:E26)='数据-基础表'!BA5,SUM(E19:E26),IF(F27="地上面积有误","面积有误","地下面积有误"))</f>
        <v>123719.55</v>
      </c>
      <c r="F27" s="1392">
        <f>IF(SUM(F19:F26)=E8,SUM(F19:F26),"地上面积有误")</f>
        <v>109738</v>
      </c>
      <c r="G27" s="1394">
        <f>SUM(G19:G26)</f>
        <v>13981.55</v>
      </c>
      <c r="H27" s="1395">
        <f>SUM(H19:H26)</f>
        <v>2707.2799999999993</v>
      </c>
      <c r="I27" s="1396">
        <f>SUM(I19:I26)</f>
        <v>17213.260000000002</v>
      </c>
      <c r="J27" s="1391"/>
      <c r="K27" s="1399">
        <f>SUM(K19:K26)</f>
        <v>17213.260000000002</v>
      </c>
      <c r="L27" s="1400">
        <f>SUM(L19:L26)</f>
        <v>0</v>
      </c>
      <c r="M27" s="1403">
        <f>SUM(M19:M26)</f>
        <v>17213.260000000002</v>
      </c>
      <c r="N27" s="1399">
        <f t="shared" ref="N27:O27" si="10">SUM(N19:N26)</f>
        <v>0</v>
      </c>
      <c r="O27" s="1400">
        <f t="shared" si="10"/>
        <v>0</v>
      </c>
      <c r="P27" s="1401">
        <f>SUM(P19:P26)</f>
        <v>0</v>
      </c>
      <c r="R27" s="1248">
        <f>IF(SUM(R19:R26)=$D$3,SUM(R19:R26),SUM(R19:R26)&amp;"误差"&amp;ROUND(SUM(R19:R26)-$D$3,2))</f>
        <v>22165.750000000004</v>
      </c>
      <c r="S27" s="1246">
        <f>IF(SUM(S19:S26)=$E$3,SUM(S19:S26),SUM(S19:S26)&amp;"误差"&amp;ROUND(SUM(S19:S26)-E3,2))</f>
        <v>140932.81</v>
      </c>
    </row>
    <row r="28" spans="1:19">
      <c r="A28" s="2262"/>
      <c r="B28" s="50" t="s">
        <v>1959</v>
      </c>
      <c r="C28" s="1258" t="s">
        <v>1960</v>
      </c>
      <c r="D28" s="48">
        <f>ROUND($D$3*E28/$E$3,2)</f>
        <v>2707.28</v>
      </c>
      <c r="E28" s="56">
        <f>SUM(F28:G28)</f>
        <v>17213.260000000002</v>
      </c>
      <c r="F28" s="64">
        <f>'数据-基础表'!BQ5+'数据-基础表'!BS5</f>
        <v>164.25</v>
      </c>
      <c r="G28" s="65">
        <f>'数据-基础表'!BR5+'数据-基础表'!BT5</f>
        <v>17049.010000000002</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2707.28</v>
      </c>
      <c r="E30" s="1392">
        <f>SUM(E28:E29)</f>
        <v>17213.260000000002</v>
      </c>
      <c r="F30" s="1392">
        <f>SUM(F28:F29)</f>
        <v>164.25</v>
      </c>
      <c r="G30" s="1394">
        <f>SUM(G28:G29)</f>
        <v>17049.010000000002</v>
      </c>
      <c r="H30" s="1391"/>
      <c r="I30" s="1391"/>
      <c r="J30" s="1391"/>
      <c r="K30" s="1391"/>
      <c r="L30" s="1391"/>
      <c r="M30" s="1391"/>
      <c r="N30" s="1391"/>
      <c r="O30" s="1391"/>
      <c r="P30" s="1391"/>
    </row>
    <row r="31" spans="1:19" ht="15.75" thickBot="1">
      <c r="A31" s="2268"/>
      <c r="B31" s="2269"/>
      <c r="C31" s="1006" t="s">
        <v>1962</v>
      </c>
      <c r="D31" s="729">
        <f>D27+D30</f>
        <v>22165.75</v>
      </c>
      <c r="E31" s="729">
        <f>E27+E30</f>
        <v>140932.81</v>
      </c>
      <c r="F31" s="730">
        <f>F27+F30</f>
        <v>109902.25</v>
      </c>
      <c r="G31" s="731">
        <f>G27+G30</f>
        <v>31030.560000000001</v>
      </c>
      <c r="H31" s="1391"/>
      <c r="I31" s="1391"/>
      <c r="J31" s="1391"/>
      <c r="K31" s="1391"/>
      <c r="L31" s="1391"/>
      <c r="M31" s="1391"/>
      <c r="N31" s="1391"/>
      <c r="O31" s="1391"/>
      <c r="P31" s="1391"/>
    </row>
    <row r="32" spans="1:19">
      <c r="A32" s="2233"/>
      <c r="B32" s="2233" t="s">
        <v>1963</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43633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40</v>
      </c>
      <c r="E6" s="1047">
        <f>IF(B6="","",SUMIF(项目基本情况!D$12:I$12,C6,项目基本情况!D$13:I$13))</f>
        <v>56264</v>
      </c>
      <c r="F6" s="72">
        <f>SUMIF(项目基本情况!D$12:I$12,C6,项目基本情况!D$15:I$15)</f>
        <v>34.6</v>
      </c>
      <c r="G6" s="73">
        <f ca="1">IF(ISERROR(ROUND(POWER(1+H6,D6-F6)*(POWER(1+H6,F6)-1)/(POWER(1+H6,D6)-1),3)),0,ROUND(POWER(1+H6,D6-F6)*(POWER(1+H6,F6)-1)/(POWER(1+H6,D6)-1),3))</f>
        <v>0.95399999999999996</v>
      </c>
      <c r="H6" s="802">
        <f ca="1">基准地价修正!E41</f>
        <v>5.3999999999999999E-2</v>
      </c>
      <c r="I6" s="802">
        <v>0.06</v>
      </c>
      <c r="J6" s="74">
        <v>8.5000000000000006E-2</v>
      </c>
      <c r="K6" s="1250">
        <f>SUMIF('数据-汇总表'!C$19:C$33,A6,'数据-汇总表'!E$19:E$33)</f>
        <v>53816.27</v>
      </c>
      <c r="L6" s="803">
        <v>3500</v>
      </c>
      <c r="M6" s="75">
        <f t="shared" ref="M6:M14" si="0">ROUND(K6*L6/10000,0)</f>
        <v>18836</v>
      </c>
      <c r="N6" s="801">
        <v>0.3</v>
      </c>
      <c r="O6" s="75">
        <f>IF($N$5="成新度","——",ROUND(M6*N6,0))</f>
        <v>5651</v>
      </c>
      <c r="P6" s="76">
        <f>IF($N$5="成新度","——",M6-O6)</f>
        <v>13185</v>
      </c>
      <c r="Q6" s="804">
        <v>0.15</v>
      </c>
      <c r="R6" s="77">
        <f ca="1">SUMIF('数据-汇总表'!C$19:C$33,A6,'数据-汇总表'!R$19:R$27)</f>
        <v>9641.7900000000009</v>
      </c>
      <c r="S6" s="54">
        <f>IF('数据-汇总表'!$I$17="按面积比例",SUMIF('数据-汇总表'!C$19:C$33,A6,'数据-汇总表'!K$19:K$33),SUMIF('数据-汇总表'!C$19:C$33,A6,'数据-汇总表'!N$19:N$33))</f>
        <v>7487.53</v>
      </c>
      <c r="T6" s="1442">
        <f>ROUND($L$14*S6/10000,0)</f>
        <v>2621</v>
      </c>
      <c r="U6" s="78">
        <v>5.5</v>
      </c>
      <c r="V6" s="79">
        <v>0.03</v>
      </c>
      <c r="W6" s="79">
        <v>0.15</v>
      </c>
      <c r="X6" s="1260"/>
      <c r="Y6" s="80">
        <v>1</v>
      </c>
      <c r="Z6" s="81"/>
      <c r="AA6" s="74"/>
      <c r="AB6" s="74"/>
      <c r="AC6" s="1260"/>
      <c r="AD6" s="82"/>
      <c r="AE6" s="1261">
        <f ca="1">IF(AN6="",0,SUMIF(INDIRECT("'"&amp;AN6&amp;"'"&amp;"!E:E"),$AE$5,INDIRECT("'"&amp;AN6&amp;"'"&amp;"!F:F")))</f>
        <v>32.700000000000003</v>
      </c>
      <c r="AF6" s="1803"/>
      <c r="AG6" s="147">
        <f>IF(AF6="",0,AE6-AF6)</f>
        <v>0</v>
      </c>
      <c r="AH6" s="83"/>
      <c r="AI6" s="85">
        <v>365</v>
      </c>
      <c r="AJ6" s="86"/>
      <c r="AK6" s="87">
        <v>1.4999999999999999E-2</v>
      </c>
      <c r="AL6" s="88">
        <v>1.5E-3</v>
      </c>
      <c r="AM6" s="89">
        <v>0.01</v>
      </c>
      <c r="AN6" s="2308" t="s">
        <v>3094</v>
      </c>
      <c r="AO6" s="55">
        <f ca="1">SUMIF(INDIRECT("'"&amp;AN6&amp;"'"&amp;"!A:A"),"总价",INDIRECT("'"&amp;AN6&amp;"'"&amp;"!B:B"))</f>
        <v>141450</v>
      </c>
      <c r="AP6" s="2309">
        <f>IF(C6="住宅",K6*L6,0)</f>
        <v>0</v>
      </c>
      <c r="AQ6" s="55">
        <f>ROUND($L$14*$N$14*S6/10000,0)</f>
        <v>786</v>
      </c>
      <c r="AR6" s="55">
        <f>ROUND($L$14*(1-$N$14)*S6/10000,0)</f>
        <v>1834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公寓</v>
      </c>
      <c r="B7" s="2306" t="str">
        <f t="shared" ref="B7:B13" si="1">IF(A7=0,"","经营性")</f>
        <v>经营性</v>
      </c>
      <c r="C7" s="2307" t="s">
        <v>1373</v>
      </c>
      <c r="D7" s="1050">
        <f>SUMIF(项目基本情况!D$12:I$12,C7,项目基本情况!D$14:I$14)</f>
        <v>40</v>
      </c>
      <c r="E7" s="1047">
        <f>IF(B7="","",SUMIF(项目基本情况!D$12:I$12,C7,项目基本情况!D$13:I$13))</f>
        <v>56264</v>
      </c>
      <c r="F7" s="72">
        <f>SUMIF(项目基本情况!D$12:I$12,C7,项目基本情况!D$15:I$15)</f>
        <v>34.6</v>
      </c>
      <c r="G7" s="73">
        <f t="shared" ref="G7:G11" si="2">IF(ISERROR(ROUND(POWER(1+H7,D7-F7)*(POWER(1+H7,F7)-1)/(POWER(1+H7,D7)-1),3)),0,ROUND(POWER(1+H7,D7-F7)*(POWER(1+H7,F7)-1)/(POWER(1+H7,D7)-1),3))</f>
        <v>0.95399999999999996</v>
      </c>
      <c r="H7" s="802">
        <v>5.3999999999999999E-2</v>
      </c>
      <c r="I7" s="802">
        <v>0.06</v>
      </c>
      <c r="J7" s="74">
        <v>8.5000000000000006E-2</v>
      </c>
      <c r="K7" s="1250">
        <f>SUMIF('数据-汇总表'!C$19:C$33,A7,'数据-汇总表'!E$19:E$33)</f>
        <v>16827.990000000002</v>
      </c>
      <c r="L7" s="803">
        <v>4500</v>
      </c>
      <c r="M7" s="75">
        <f t="shared" si="0"/>
        <v>7573</v>
      </c>
      <c r="N7" s="801">
        <f>N6</f>
        <v>0.3</v>
      </c>
      <c r="O7" s="75">
        <f t="shared" ref="O7:O14" si="3">IF($N$5="成新度","——",ROUND(M7*N7,0))</f>
        <v>2272</v>
      </c>
      <c r="P7" s="76">
        <f t="shared" ref="P7:P14" si="4">IF($N$5="成新度","——",M7-O7)</f>
        <v>5301</v>
      </c>
      <c r="Q7" s="804">
        <v>0.15</v>
      </c>
      <c r="R7" s="77">
        <f ca="1">SUMIF('数据-汇总表'!C$19:C$33,A7,'数据-汇总表'!R$19:R$27)</f>
        <v>3014.9300000000003</v>
      </c>
      <c r="S7" s="54">
        <f>IF('数据-汇总表'!$I$17="按面积比例",SUMIF('数据-汇总表'!C$19:C$33,A7,'数据-汇总表'!K$19:K$33),SUMIF('数据-汇总表'!C$19:C$33,A7,'数据-汇总表'!N$19:N$33))</f>
        <v>2341.3000000000002</v>
      </c>
      <c r="T7" s="1442">
        <f t="shared" ref="T7:T13" si="5">ROUND($L$14*S7/10000,0)</f>
        <v>819</v>
      </c>
      <c r="U7" s="78">
        <v>6</v>
      </c>
      <c r="V7" s="79">
        <v>0.03</v>
      </c>
      <c r="W7" s="79">
        <v>0.15</v>
      </c>
      <c r="X7" s="1260"/>
      <c r="Y7" s="80">
        <v>1</v>
      </c>
      <c r="Z7" s="81"/>
      <c r="AA7" s="74"/>
      <c r="AB7" s="74"/>
      <c r="AC7" s="1260"/>
      <c r="AD7" s="82"/>
      <c r="AE7" s="1261">
        <f t="shared" ref="AE7:AE13" ca="1" si="6">IF(AN7="",0,SUMIF(INDIRECT("'"&amp;AN7&amp;"'"&amp;"!E:E"),$AE$5,INDIRECT("'"&amp;AN7&amp;"'"&amp;"!F:F")))</f>
        <v>32.700000000000003</v>
      </c>
      <c r="AF7" s="1803"/>
      <c r="AG7" s="147">
        <f t="shared" ref="AG7:AG13" si="7">IF(AF7="",0,AE7-AF7)</f>
        <v>0</v>
      </c>
      <c r="AH7" s="83"/>
      <c r="AI7" s="85">
        <v>365</v>
      </c>
      <c r="AJ7" s="86"/>
      <c r="AK7" s="87">
        <v>1.4999999999999999E-2</v>
      </c>
      <c r="AL7" s="88">
        <v>1.5E-3</v>
      </c>
      <c r="AM7" s="89">
        <v>0.01</v>
      </c>
      <c r="AN7" s="2308" t="s">
        <v>3086</v>
      </c>
      <c r="AO7" s="55">
        <f t="shared" ref="AO7:AO13" ca="1" si="8">SUMIF(INDIRECT("'"&amp;AN7&amp;"'"&amp;"!A:A"),"总价",INDIRECT("'"&amp;AN7&amp;"'"&amp;"!B:B"))</f>
        <v>47779</v>
      </c>
      <c r="AP7" s="2309">
        <f t="shared" ref="AP7:AP13" si="9">IF(C7="住宅",K7*L7,0)</f>
        <v>0</v>
      </c>
      <c r="AQ7" s="55">
        <f t="shared" ref="AQ7:AQ13" si="10">ROUND($L$14*$N$14*S7/10000,0)</f>
        <v>246</v>
      </c>
      <c r="AR7" s="55">
        <f t="shared" ref="AR7:AR13" si="11">ROUND($L$14*(1-$N$14)*S7/10000,0)</f>
        <v>574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地上商业</v>
      </c>
      <c r="B8" s="2306" t="str">
        <f t="shared" si="1"/>
        <v>经营性</v>
      </c>
      <c r="C8" s="2307" t="s">
        <v>1373</v>
      </c>
      <c r="D8" s="1050">
        <f>SUMIF(项目基本情况!D$12:I$12,C8,项目基本情况!D$14:I$14)</f>
        <v>40</v>
      </c>
      <c r="E8" s="1047">
        <f>IF(B8="","",SUMIF(项目基本情况!D$12:I$12,C8,项目基本情况!D$13:I$13))</f>
        <v>56264</v>
      </c>
      <c r="F8" s="72">
        <f>SUMIF(项目基本情况!D$12:I$12,C8,项目基本情况!D$15:I$15)</f>
        <v>34.6</v>
      </c>
      <c r="G8" s="73">
        <f t="shared" si="2"/>
        <v>0.95399999999999996</v>
      </c>
      <c r="H8" s="802">
        <v>5.3999999999999999E-2</v>
      </c>
      <c r="I8" s="802">
        <v>0.06</v>
      </c>
      <c r="J8" s="74">
        <v>8.5000000000000006E-2</v>
      </c>
      <c r="K8" s="1250">
        <f>SUMIF('数据-汇总表'!C$19:C$33,A8,'数据-汇总表'!E$19:E$33)</f>
        <v>39093.74</v>
      </c>
      <c r="L8" s="803">
        <f>L6</f>
        <v>3500</v>
      </c>
      <c r="M8" s="75">
        <f>ROUND(K8*L8/10000,0)</f>
        <v>13683</v>
      </c>
      <c r="N8" s="801">
        <f>N7</f>
        <v>0.3</v>
      </c>
      <c r="O8" s="75">
        <f t="shared" si="3"/>
        <v>4105</v>
      </c>
      <c r="P8" s="76">
        <f t="shared" si="4"/>
        <v>9578</v>
      </c>
      <c r="Q8" s="804">
        <v>0.2</v>
      </c>
      <c r="R8" s="77">
        <f ca="1">SUMIF('数据-汇总表'!C$19:C$33,A8,'数据-汇总表'!R$19:R$27)</f>
        <v>7004.08</v>
      </c>
      <c r="S8" s="54">
        <f>IF('数据-汇总表'!$I$17="按面积比例",SUMIF('数据-汇总表'!C$19:C$33,A8,'数据-汇总表'!K$19:K$33),SUMIF('数据-汇总表'!C$19:C$33,A8,'数据-汇总表'!N$19:N$33))</f>
        <v>5439.16</v>
      </c>
      <c r="T8" s="1442">
        <f t="shared" si="5"/>
        <v>1904</v>
      </c>
      <c r="U8" s="805">
        <v>4</v>
      </c>
      <c r="V8" s="806">
        <v>0.03</v>
      </c>
      <c r="W8" s="806">
        <v>0.15</v>
      </c>
      <c r="X8" s="1260"/>
      <c r="Y8" s="807">
        <v>1</v>
      </c>
      <c r="Z8" s="81"/>
      <c r="AA8" s="74"/>
      <c r="AB8" s="74"/>
      <c r="AC8" s="1260"/>
      <c r="AD8" s="82"/>
      <c r="AE8" s="1261">
        <f t="shared" ca="1" si="6"/>
        <v>32.700000000000003</v>
      </c>
      <c r="AF8" s="1803"/>
      <c r="AG8" s="147">
        <f t="shared" si="7"/>
        <v>0</v>
      </c>
      <c r="AH8" s="808"/>
      <c r="AI8" s="85">
        <v>365</v>
      </c>
      <c r="AJ8" s="86"/>
      <c r="AK8" s="809">
        <v>1.4999999999999999E-2</v>
      </c>
      <c r="AL8" s="810">
        <v>1.5E-3</v>
      </c>
      <c r="AM8" s="89">
        <v>0.01</v>
      </c>
      <c r="AN8" s="2308" t="s">
        <v>3088</v>
      </c>
      <c r="AO8" s="55">
        <f t="shared" ca="1" si="8"/>
        <v>72278</v>
      </c>
      <c r="AP8" s="2309">
        <f t="shared" si="9"/>
        <v>0</v>
      </c>
      <c r="AQ8" s="55">
        <f t="shared" si="10"/>
        <v>571</v>
      </c>
      <c r="AR8" s="55">
        <f t="shared" si="11"/>
        <v>1333</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地下商业</v>
      </c>
      <c r="B9" s="2306" t="str">
        <f t="shared" si="1"/>
        <v>经营性</v>
      </c>
      <c r="C9" s="2307" t="s">
        <v>1373</v>
      </c>
      <c r="D9" s="1050">
        <f>SUMIF(项目基本情况!D$12:I$12,C9,项目基本情况!D$14:I$14)</f>
        <v>40</v>
      </c>
      <c r="E9" s="1047">
        <f>IF(B9="","",SUMIF(项目基本情况!D$12:I$12,C9,项目基本情况!D$13:I$13))</f>
        <v>56264</v>
      </c>
      <c r="F9" s="72">
        <f>SUMIF(项目基本情况!D$12:I$12,C9,项目基本情况!D$15:I$15)</f>
        <v>34.6</v>
      </c>
      <c r="G9" s="73">
        <f t="shared" si="2"/>
        <v>0.95399999999999996</v>
      </c>
      <c r="H9" s="802">
        <v>5.3999999999999999E-2</v>
      </c>
      <c r="I9" s="74">
        <v>0.06</v>
      </c>
      <c r="J9" s="74">
        <v>8.5000000000000006E-2</v>
      </c>
      <c r="K9" s="1250">
        <f>SUMIF('数据-汇总表'!C$19:C$33,A9,'数据-汇总表'!E$19:E$33)</f>
        <v>9459.14</v>
      </c>
      <c r="L9" s="803">
        <f>L6</f>
        <v>3500</v>
      </c>
      <c r="M9" s="75">
        <f t="shared" si="0"/>
        <v>3311</v>
      </c>
      <c r="N9" s="801">
        <f>N8</f>
        <v>0.3</v>
      </c>
      <c r="O9" s="75">
        <f t="shared" si="3"/>
        <v>993</v>
      </c>
      <c r="P9" s="76">
        <f t="shared" si="4"/>
        <v>2318</v>
      </c>
      <c r="Q9" s="90">
        <v>0.2</v>
      </c>
      <c r="R9" s="77">
        <f ca="1">SUMIF('数据-汇总表'!C$19:C$33,A9,'数据-汇总表'!R$19:R$27)</f>
        <v>1694.71</v>
      </c>
      <c r="S9" s="54">
        <f>IF('数据-汇总表'!$I$17="按面积比例",SUMIF('数据-汇总表'!C$19:C$33,A9,'数据-汇总表'!K$19:K$33),SUMIF('数据-汇总表'!C$19:C$33,A9,'数据-汇总表'!N$19:N$33))</f>
        <v>1316.06</v>
      </c>
      <c r="T9" s="1442">
        <f t="shared" si="5"/>
        <v>461</v>
      </c>
      <c r="U9" s="78">
        <v>3</v>
      </c>
      <c r="V9" s="79">
        <v>0.03</v>
      </c>
      <c r="W9" s="79">
        <v>0.15</v>
      </c>
      <c r="X9" s="1260"/>
      <c r="Y9" s="80">
        <v>1</v>
      </c>
      <c r="Z9" s="81"/>
      <c r="AA9" s="74"/>
      <c r="AB9" s="74"/>
      <c r="AC9" s="1260"/>
      <c r="AD9" s="82"/>
      <c r="AE9" s="1261">
        <f t="shared" ca="1" si="6"/>
        <v>32.700000000000003</v>
      </c>
      <c r="AF9" s="1803"/>
      <c r="AG9" s="147">
        <f t="shared" si="7"/>
        <v>0</v>
      </c>
      <c r="AH9" s="83"/>
      <c r="AI9" s="85">
        <v>365</v>
      </c>
      <c r="AJ9" s="86"/>
      <c r="AK9" s="87">
        <v>1.4999999999999999E-2</v>
      </c>
      <c r="AL9" s="88">
        <v>1.5E-3</v>
      </c>
      <c r="AM9" s="89">
        <v>0.01</v>
      </c>
      <c r="AN9" s="2308" t="s">
        <v>3090</v>
      </c>
      <c r="AO9" s="55">
        <f t="shared" ca="1" si="8"/>
        <v>12625</v>
      </c>
      <c r="AP9" s="2309">
        <f t="shared" si="9"/>
        <v>0</v>
      </c>
      <c r="AQ9" s="55">
        <f t="shared" si="10"/>
        <v>138</v>
      </c>
      <c r="AR9" s="55">
        <f t="shared" si="11"/>
        <v>322</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汽车车库</v>
      </c>
      <c r="B10" s="2306" t="str">
        <f t="shared" si="1"/>
        <v>经营性</v>
      </c>
      <c r="C10" s="2307" t="s">
        <v>3074</v>
      </c>
      <c r="D10" s="1050">
        <f>SUMIF(项目基本情况!D$12:I$12,C10,项目基本情况!D$14:I$14)</f>
        <v>40</v>
      </c>
      <c r="E10" s="1047">
        <f>IF(B10="","",SUMIF(项目基本情况!D$12:I$12,C10,项目基本情况!D$13:I$13))</f>
        <v>56264</v>
      </c>
      <c r="F10" s="72">
        <f>SUMIF(项目基本情况!D$12:I$12,C10,项目基本情况!D$15:I$15)</f>
        <v>34.6</v>
      </c>
      <c r="G10" s="73">
        <f t="shared" si="2"/>
        <v>0.95399999999999996</v>
      </c>
      <c r="H10" s="802">
        <v>5.3999999999999999E-2</v>
      </c>
      <c r="I10" s="74">
        <v>5.5E-2</v>
      </c>
      <c r="J10" s="74">
        <v>8.5000000000000006E-2</v>
      </c>
      <c r="K10" s="1250">
        <f>SUMIF('数据-汇总表'!C$19:C$33,A10,'数据-汇总表'!E$19:E$33)</f>
        <v>3220.52</v>
      </c>
      <c r="L10" s="803">
        <f t="shared" ref="L10:L11" si="12">L8</f>
        <v>3500</v>
      </c>
      <c r="M10" s="75">
        <f t="shared" si="0"/>
        <v>1127</v>
      </c>
      <c r="N10" s="801">
        <f>N9</f>
        <v>0.3</v>
      </c>
      <c r="O10" s="75">
        <f t="shared" si="3"/>
        <v>338</v>
      </c>
      <c r="P10" s="76">
        <f t="shared" si="4"/>
        <v>789</v>
      </c>
      <c r="Q10" s="90">
        <v>0.05</v>
      </c>
      <c r="R10" s="77">
        <f ca="1">SUMIF('数据-汇总表'!C$19:C$33,A10,'数据-汇总表'!R$19:R$27)</f>
        <v>576.99</v>
      </c>
      <c r="S10" s="54">
        <f>IF('数据-汇总表'!$I$17="按面积比例",SUMIF('数据-汇总表'!C$19:C$33,A10,'数据-汇总表'!K$19:K$33),SUMIF('数据-汇总表'!C$19:C$33,A10,'数据-汇总表'!N$19:N$33))</f>
        <v>448.08</v>
      </c>
      <c r="T10" s="1442">
        <f t="shared" si="5"/>
        <v>157</v>
      </c>
      <c r="U10" s="78">
        <v>0.5</v>
      </c>
      <c r="V10" s="79">
        <v>0.03</v>
      </c>
      <c r="W10" s="79">
        <v>0.15</v>
      </c>
      <c r="X10" s="1260"/>
      <c r="Y10" s="80">
        <v>1</v>
      </c>
      <c r="Z10" s="81"/>
      <c r="AA10" s="74"/>
      <c r="AB10" s="74"/>
      <c r="AC10" s="1260"/>
      <c r="AD10" s="82"/>
      <c r="AE10" s="1261">
        <f t="shared" ca="1" si="6"/>
        <v>32.700000000000003</v>
      </c>
      <c r="AF10" s="1803"/>
      <c r="AG10" s="147">
        <f t="shared" si="7"/>
        <v>0</v>
      </c>
      <c r="AH10" s="83"/>
      <c r="AI10" s="85">
        <v>365</v>
      </c>
      <c r="AJ10" s="86"/>
      <c r="AK10" s="87">
        <v>1.4999999999999999E-2</v>
      </c>
      <c r="AL10" s="88">
        <v>1.5E-3</v>
      </c>
      <c r="AM10" s="89">
        <v>0.01</v>
      </c>
      <c r="AN10" s="2308" t="s">
        <v>3092</v>
      </c>
      <c r="AO10" s="55">
        <f t="shared" ca="1" si="8"/>
        <v>261</v>
      </c>
      <c r="AP10" s="2309">
        <f t="shared" si="9"/>
        <v>0</v>
      </c>
      <c r="AQ10" s="55">
        <f t="shared" si="10"/>
        <v>47</v>
      </c>
      <c r="AR10" s="55">
        <f t="shared" si="11"/>
        <v>110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t="str">
        <f>'数据-汇总表'!C24</f>
        <v>库房</v>
      </c>
      <c r="B11" s="2306" t="str">
        <f t="shared" si="1"/>
        <v>经营性</v>
      </c>
      <c r="C11" s="2307" t="s">
        <v>3119</v>
      </c>
      <c r="D11" s="1050">
        <f>SUMIF(项目基本情况!D$12:I$12,C11,项目基本情况!D$14:I$14)</f>
        <v>0</v>
      </c>
      <c r="E11" s="1047">
        <f>IF(B11="","",SUMIF(项目基本情况!D$12:I$12,C11,项目基本情况!D$13:I$13))</f>
        <v>56264</v>
      </c>
      <c r="F11" s="72">
        <f>SUMIF(项目基本情况!D$12:I$12,C11,项目基本情况!D$15:I$15)</f>
        <v>34.6</v>
      </c>
      <c r="G11" s="73">
        <f t="shared" si="2"/>
        <v>0</v>
      </c>
      <c r="H11" s="74">
        <v>5.3999999999999999E-2</v>
      </c>
      <c r="I11" s="74">
        <v>5.5E-2</v>
      </c>
      <c r="J11" s="74">
        <v>8.5000000000000006E-2</v>
      </c>
      <c r="K11" s="1250">
        <f>SUMIF('数据-汇总表'!C$19:C$33,A11,'数据-汇总表'!E$19:E$33)</f>
        <v>1301.8900000000001</v>
      </c>
      <c r="L11" s="803">
        <f t="shared" si="12"/>
        <v>3500</v>
      </c>
      <c r="M11" s="75">
        <f t="shared" si="0"/>
        <v>456</v>
      </c>
      <c r="N11" s="801">
        <f>N10</f>
        <v>0.3</v>
      </c>
      <c r="O11" s="75">
        <f t="shared" si="3"/>
        <v>137</v>
      </c>
      <c r="P11" s="76">
        <f t="shared" si="4"/>
        <v>319</v>
      </c>
      <c r="Q11" s="90">
        <v>0.05</v>
      </c>
      <c r="R11" s="77">
        <f ca="1">SUMIF('数据-汇总表'!C$19:C$33,A11,'数据-汇总表'!R$19:R$27)</f>
        <v>233.25</v>
      </c>
      <c r="S11" s="54">
        <f>IF('数据-汇总表'!$I$17="按面积比例",SUMIF('数据-汇总表'!C$19:C$33,A11,'数据-汇总表'!K$19:K$33),SUMIF('数据-汇总表'!C$19:C$33,A11,'数据-汇总表'!N$19:N$33))</f>
        <v>181.13</v>
      </c>
      <c r="T11" s="1442">
        <f t="shared" si="5"/>
        <v>63</v>
      </c>
      <c r="U11" s="2985">
        <v>1</v>
      </c>
      <c r="V11" s="74">
        <v>0.03</v>
      </c>
      <c r="W11" s="74">
        <v>0.15</v>
      </c>
      <c r="X11" s="1260"/>
      <c r="Y11" s="80">
        <v>1</v>
      </c>
      <c r="Z11" s="93"/>
      <c r="AA11" s="74"/>
      <c r="AB11" s="74"/>
      <c r="AC11" s="1260"/>
      <c r="AD11" s="82"/>
      <c r="AE11" s="1261">
        <f t="shared" ca="1" si="6"/>
        <v>32.700000000000003</v>
      </c>
      <c r="AF11" s="1803"/>
      <c r="AG11" s="147">
        <f t="shared" si="7"/>
        <v>0</v>
      </c>
      <c r="AH11" s="83"/>
      <c r="AI11" s="85">
        <v>365</v>
      </c>
      <c r="AJ11" s="86"/>
      <c r="AK11" s="94">
        <v>1.4999999999999999E-2</v>
      </c>
      <c r="AL11" s="95">
        <v>1.5E-3</v>
      </c>
      <c r="AM11" s="96">
        <v>0.01</v>
      </c>
      <c r="AN11" s="2308" t="s">
        <v>3115</v>
      </c>
      <c r="AO11" s="55">
        <f t="shared" ca="1" si="8"/>
        <v>457</v>
      </c>
      <c r="AP11" s="2309">
        <f t="shared" si="9"/>
        <v>0</v>
      </c>
      <c r="AQ11" s="55">
        <f t="shared" si="10"/>
        <v>19</v>
      </c>
      <c r="AR11" s="55">
        <f t="shared" si="11"/>
        <v>44</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v>1</v>
      </c>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17213.260000000002</v>
      </c>
      <c r="L14" s="91">
        <f>L6</f>
        <v>3500</v>
      </c>
      <c r="M14" s="75">
        <f t="shared" si="0"/>
        <v>6025</v>
      </c>
      <c r="N14" s="92">
        <f>N6</f>
        <v>0.3</v>
      </c>
      <c r="O14" s="75">
        <f t="shared" si="3"/>
        <v>1808</v>
      </c>
      <c r="P14" s="76">
        <f t="shared" si="4"/>
        <v>4217</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 ca="1">ROUND(SUMPRODUCT(G6:G13,K6:K13)/SUMPRODUCT((G6:G13&gt;0)*(K6:K13)),3)</f>
        <v>0.95399999999999996</v>
      </c>
      <c r="H16" s="99">
        <f ca="1">ROUND(SUMPRODUCT(H6:H13,K6:K13)/SUMPRODUCT((H6:H13&gt;0)*(K6:K13)),3)</f>
        <v>5.3999999999999999E-2</v>
      </c>
      <c r="I16" s="100"/>
      <c r="J16" s="100"/>
      <c r="K16" s="101">
        <f>SUM(K6:K15)</f>
        <v>140932.81</v>
      </c>
      <c r="L16" s="102">
        <f>ROUND(M16*10000/SUM(K6:K14),0)</f>
        <v>3620</v>
      </c>
      <c r="M16" s="102">
        <f>SUM(M6:M14)</f>
        <v>51011</v>
      </c>
      <c r="N16" s="103">
        <f>ROUND(SUMPRODUCT(M6:M14,N6:N14)/M16,3)</f>
        <v>0.3</v>
      </c>
      <c r="O16" s="102">
        <f>SUM(O6:O14)</f>
        <v>15304</v>
      </c>
      <c r="P16" s="102">
        <f>SUM(P6:P14)</f>
        <v>35707</v>
      </c>
      <c r="Q16" s="104">
        <f>ROUND(SUMPRODUCT(Q6:Q13,K6:K13)/SUMPRODUCT((Q6:Q13&gt;0)*(K6:K13)),2)</f>
        <v>0.17</v>
      </c>
      <c r="R16" s="1254">
        <f ca="1">SUM(R6:R13)</f>
        <v>22165.750000000004</v>
      </c>
      <c r="S16" s="105">
        <f>SUM(S6:S13)</f>
        <v>17213.260000000002</v>
      </c>
      <c r="T16" s="106">
        <f>IF(SUMIF(T6:T13,"&lt;9E307")=M14,SUMIF(T6:T13,"&lt;9E307"),"有误，请检查")</f>
        <v>6025</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2.5</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0.6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thickBot="1">
      <c r="A23" s="2317" t="s">
        <v>2022</v>
      </c>
      <c r="B23" s="114">
        <f>B19+B21</f>
        <v>0.6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1.9</v>
      </c>
      <c r="C24" s="2276"/>
      <c r="D24" s="2277"/>
      <c r="E24" s="2276"/>
      <c r="F24" s="2276"/>
      <c r="G24" s="2276"/>
      <c r="H24" s="2276"/>
      <c r="I24" s="2276"/>
      <c r="J24" s="2276"/>
      <c r="K24" s="168"/>
      <c r="L24" s="168"/>
      <c r="M24" s="1580"/>
      <c r="N24" s="2967" t="s">
        <v>3078</v>
      </c>
      <c r="O24" s="2968" t="s">
        <v>3079</v>
      </c>
      <c r="P24" s="2969" t="s">
        <v>3078</v>
      </c>
      <c r="Q24" s="2968" t="s">
        <v>3079</v>
      </c>
      <c r="R24" s="2970"/>
      <c r="S24" s="1580"/>
      <c r="T24" s="1580"/>
      <c r="U24" s="1580" t="s">
        <v>3114</v>
      </c>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2971">
        <v>15</v>
      </c>
      <c r="O25" s="2972">
        <v>3</v>
      </c>
      <c r="P25" s="2972">
        <v>7</v>
      </c>
      <c r="Q25" s="2972">
        <f>O25*2</f>
        <v>6</v>
      </c>
      <c r="R25" s="2973">
        <f>((P25+Q25)/(N25+Q25))*50%</f>
        <v>0.30952380952380953</v>
      </c>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v>160</v>
      </c>
      <c r="C27" s="1763" t="s">
        <v>2028</v>
      </c>
      <c r="D27" s="2322"/>
      <c r="E27" s="1426"/>
      <c r="F27" s="1426"/>
      <c r="G27" s="2276"/>
      <c r="H27" s="2276"/>
      <c r="I27" s="2276"/>
      <c r="J27" s="2276"/>
      <c r="K27" s="168"/>
      <c r="L27" s="168"/>
      <c r="M27" s="1580"/>
      <c r="N27" s="1580"/>
      <c r="O27" s="2974" t="s">
        <v>3080</v>
      </c>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t="s">
        <v>3081</v>
      </c>
      <c r="O28" s="1580">
        <v>6</v>
      </c>
      <c r="P28" s="1580">
        <v>1</v>
      </c>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v>0</v>
      </c>
      <c r="C29" s="1763" t="s">
        <v>2031</v>
      </c>
      <c r="D29" s="2322"/>
      <c r="E29" s="1426"/>
      <c r="F29" s="1426"/>
      <c r="G29" s="2276"/>
      <c r="H29" s="2276"/>
      <c r="I29" s="2276"/>
      <c r="J29" s="2276"/>
      <c r="K29" s="168"/>
      <c r="L29" s="168"/>
      <c r="M29" s="1580"/>
      <c r="N29" s="1580" t="s">
        <v>3082</v>
      </c>
      <c r="O29" s="1580">
        <f>O28*P29</f>
        <v>4.1999999999999993</v>
      </c>
      <c r="P29" s="1580">
        <v>0.7</v>
      </c>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t="s">
        <v>3083</v>
      </c>
      <c r="O30" s="1580">
        <f>O28*P30</f>
        <v>3.5999999999999996</v>
      </c>
      <c r="P30" s="1580">
        <v>0.6</v>
      </c>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100</v>
      </c>
      <c r="C31" s="1763"/>
      <c r="D31" s="2322"/>
      <c r="E31" s="1426"/>
      <c r="F31" s="1426"/>
      <c r="G31" s="2276"/>
      <c r="H31" s="2276"/>
      <c r="I31" s="2276"/>
      <c r="J31" s="2276"/>
      <c r="K31" s="168"/>
      <c r="L31" s="168"/>
      <c r="M31" s="1580"/>
      <c r="N31" s="1580" t="s">
        <v>3084</v>
      </c>
      <c r="O31" s="1580">
        <f>O28*P31</f>
        <v>3</v>
      </c>
      <c r="P31" s="1580">
        <v>0.5</v>
      </c>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100</v>
      </c>
      <c r="C32" s="2325"/>
      <c r="D32" s="2277"/>
      <c r="E32" s="2276"/>
      <c r="F32" s="2276"/>
      <c r="G32" s="2276"/>
      <c r="H32" s="2276"/>
      <c r="I32" s="2276"/>
      <c r="J32" s="2276"/>
      <c r="K32" s="168"/>
      <c r="L32" s="168"/>
      <c r="M32" s="1580"/>
      <c r="N32" s="1580" t="s">
        <v>3085</v>
      </c>
      <c r="O32" s="1580"/>
      <c r="P32" s="1580">
        <v>0.35</v>
      </c>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f>AVERAGE(O28:O32)</f>
        <v>4.1999999999999993</v>
      </c>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200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1.4999999999999999E-2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F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0" sqref="G2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140932.81</v>
      </c>
      <c r="C1" s="1741"/>
      <c r="D1" s="1741"/>
      <c r="E1" s="1741"/>
      <c r="F1" s="1741"/>
      <c r="G1" s="1739"/>
    </row>
    <row r="2" spans="1:10" ht="16.5">
      <c r="A2" s="1742" t="s">
        <v>1349</v>
      </c>
      <c r="B2" s="1742">
        <f>SUM(C14:C23)</f>
        <v>22165.75</v>
      </c>
      <c r="C2" s="1741"/>
      <c r="D2" s="1741"/>
      <c r="E2" s="1741"/>
      <c r="F2" s="1741"/>
      <c r="G2" s="1739"/>
    </row>
    <row r="3" spans="1:10" ht="16.5">
      <c r="A3" s="1742" t="s">
        <v>1358</v>
      </c>
      <c r="B3" s="1743">
        <f>项目基本情况!D3</f>
        <v>43633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175915</v>
      </c>
      <c r="C5" s="1742">
        <f ca="1">ROUND(B5*10000/$B$1,0)</f>
        <v>12482</v>
      </c>
      <c r="D5" s="1742">
        <f ca="1">ROUND(B5*10000/$B$2,0)</f>
        <v>79363</v>
      </c>
      <c r="E5" s="1741"/>
      <c r="F5" s="1739"/>
      <c r="G5" s="1739"/>
    </row>
    <row r="6" spans="1:10" ht="16.5">
      <c r="A6" s="1742" t="s">
        <v>1352</v>
      </c>
      <c r="B6" s="1742">
        <f ca="1">SUM(G14:G23)</f>
        <v>175915</v>
      </c>
      <c r="C6" s="1742">
        <f ca="1">ROUND(B6*10000/$B$1,0)</f>
        <v>12482</v>
      </c>
      <c r="D6" s="1742">
        <f ca="1">ROUND(B6*10000/$B$2,0)</f>
        <v>79363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140932.81</v>
      </c>
      <c r="C14" s="1740">
        <f>结果表!C118</f>
        <v>22165.75</v>
      </c>
      <c r="D14" s="1740">
        <f ca="1">结果表!H118</f>
        <v>175915</v>
      </c>
      <c r="E14" s="1740">
        <f ca="1">ROUND(D14*10000/B14,0)</f>
        <v>12482</v>
      </c>
      <c r="F14" s="1740">
        <f ca="1">ROUND(D14*10000/C14,0)</f>
        <v>79363</v>
      </c>
      <c r="G14" s="1740">
        <f ca="1">结果表!D122</f>
        <v>175915</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2.75">
      <c r="A3" s="3116" t="s">
        <v>2121</v>
      </c>
      <c r="B3" s="3117"/>
      <c r="C3" s="3117"/>
      <c r="D3" s="3117"/>
      <c r="E3" s="3117"/>
      <c r="F3" s="3117"/>
      <c r="G3" s="3117"/>
      <c r="H3" s="3117"/>
      <c r="I3" s="3117"/>
    </row>
    <row r="4" spans="1:12" ht="14.25">
      <c r="A4" s="2425" t="s">
        <v>2122</v>
      </c>
      <c r="B4" s="2426" t="s">
        <v>2123</v>
      </c>
      <c r="C4" s="2427" t="s">
        <v>3110</v>
      </c>
      <c r="D4" s="2427" t="s">
        <v>3111</v>
      </c>
      <c r="E4" s="3109" t="s">
        <v>2124</v>
      </c>
      <c r="F4" s="3110"/>
      <c r="G4" s="3110"/>
      <c r="H4" s="3110"/>
      <c r="I4" s="311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92" t="s">
        <v>2125</v>
      </c>
      <c r="B5" s="3030">
        <v>25</v>
      </c>
      <c r="C5" s="3095"/>
      <c r="D5" s="3115"/>
      <c r="E5" s="140" t="s">
        <v>2126</v>
      </c>
      <c r="F5" s="2429"/>
      <c r="G5" s="2429"/>
      <c r="H5" s="2429"/>
      <c r="I5" s="1830"/>
    </row>
    <row r="6" spans="1:12" ht="12.75">
      <c r="A6" s="3092"/>
      <c r="B6" s="3030"/>
      <c r="C6" s="3096"/>
      <c r="D6" s="3115"/>
      <c r="E6" s="140" t="s">
        <v>2127</v>
      </c>
      <c r="F6" s="2429"/>
      <c r="G6" s="2429"/>
      <c r="H6" s="2429"/>
      <c r="I6" s="1830"/>
    </row>
    <row r="7" spans="1:12" ht="12.75">
      <c r="A7" s="3092"/>
      <c r="B7" s="3030"/>
      <c r="C7" s="3097"/>
      <c r="D7" s="3115"/>
      <c r="E7" s="140" t="s">
        <v>2128</v>
      </c>
      <c r="F7" s="2429"/>
      <c r="G7" s="2429"/>
      <c r="H7" s="2429"/>
      <c r="I7" s="1830"/>
    </row>
    <row r="8" spans="1:12" ht="12.75">
      <c r="A8" s="3092" t="s">
        <v>2129</v>
      </c>
      <c r="B8" s="3030">
        <v>15</v>
      </c>
      <c r="C8" s="3095"/>
      <c r="D8" s="3115"/>
      <c r="E8" s="140" t="s">
        <v>2130</v>
      </c>
      <c r="F8" s="2429"/>
      <c r="G8" s="2429"/>
      <c r="H8" s="2429"/>
      <c r="I8" s="1830"/>
    </row>
    <row r="9" spans="1:12" ht="12.75">
      <c r="A9" s="3092"/>
      <c r="B9" s="3030"/>
      <c r="C9" s="3097"/>
      <c r="D9" s="3115"/>
      <c r="E9" s="140" t="s">
        <v>2131</v>
      </c>
      <c r="F9" s="2429"/>
      <c r="G9" s="2429"/>
      <c r="H9" s="2429"/>
      <c r="I9" s="1830"/>
    </row>
    <row r="10" spans="1:12" ht="12.75">
      <c r="A10" s="3092" t="s">
        <v>2132</v>
      </c>
      <c r="B10" s="3030">
        <v>15</v>
      </c>
      <c r="C10" s="3095"/>
      <c r="D10" s="3115"/>
      <c r="E10" s="140" t="s">
        <v>2133</v>
      </c>
      <c r="F10" s="2429"/>
      <c r="G10" s="2429"/>
      <c r="H10" s="2429"/>
      <c r="I10" s="1830"/>
    </row>
    <row r="11" spans="1:12" ht="12.75">
      <c r="A11" s="3092"/>
      <c r="B11" s="3030"/>
      <c r="C11" s="3097"/>
      <c r="D11" s="3115"/>
      <c r="E11" s="140" t="s">
        <v>2134</v>
      </c>
      <c r="F11" s="2429"/>
      <c r="G11" s="2429"/>
      <c r="H11" s="2429"/>
      <c r="I11" s="1830"/>
    </row>
    <row r="12" spans="1:12" ht="12.75">
      <c r="A12" s="3092" t="s">
        <v>2135</v>
      </c>
      <c r="B12" s="3030">
        <v>15</v>
      </c>
      <c r="C12" s="3095"/>
      <c r="D12" s="3115"/>
      <c r="E12" s="140" t="s">
        <v>2136</v>
      </c>
      <c r="F12" s="2429"/>
      <c r="G12" s="2429"/>
      <c r="H12" s="2429"/>
      <c r="I12" s="1830"/>
    </row>
    <row r="13" spans="1:12" ht="12.75">
      <c r="A13" s="3092"/>
      <c r="B13" s="3030"/>
      <c r="C13" s="3097"/>
      <c r="D13" s="3115"/>
      <c r="E13" s="140" t="s">
        <v>2137</v>
      </c>
      <c r="F13" s="2429"/>
      <c r="G13" s="2429"/>
      <c r="H13" s="2429"/>
      <c r="I13" s="1830"/>
    </row>
    <row r="14" spans="1:12" ht="12.75">
      <c r="A14" s="3092" t="s">
        <v>2138</v>
      </c>
      <c r="B14" s="3030">
        <v>30</v>
      </c>
      <c r="C14" s="3095">
        <v>5</v>
      </c>
      <c r="D14" s="3115">
        <v>5</v>
      </c>
      <c r="E14" s="140" t="s">
        <v>2139</v>
      </c>
      <c r="F14" s="2429"/>
      <c r="G14" s="2429"/>
      <c r="H14" s="2429"/>
      <c r="I14" s="1830"/>
    </row>
    <row r="15" spans="1:12" ht="12.75">
      <c r="A15" s="3092"/>
      <c r="B15" s="3030"/>
      <c r="C15" s="3096"/>
      <c r="D15" s="3115"/>
      <c r="E15" s="140" t="s">
        <v>2140</v>
      </c>
      <c r="F15" s="2429"/>
      <c r="G15" s="2429"/>
      <c r="H15" s="2429"/>
      <c r="I15" s="1830"/>
    </row>
    <row r="16" spans="1:12" ht="12.75">
      <c r="A16" s="3092"/>
      <c r="B16" s="3030"/>
      <c r="C16" s="3097"/>
      <c r="D16" s="3115"/>
      <c r="E16" s="140" t="s">
        <v>2141</v>
      </c>
      <c r="F16" s="2429"/>
      <c r="G16" s="2429"/>
      <c r="H16" s="2429"/>
      <c r="I16" s="1830"/>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140932.81</v>
      </c>
      <c r="M18" s="2428">
        <f>IF(C1="",'数据-汇总表'!E3,SUMIF(项目类型,C1,'数据-汇总表'!E17:E26))</f>
        <v>140932.81</v>
      </c>
    </row>
    <row r="19" spans="1:35" ht="15">
      <c r="A19" s="2434" t="s">
        <v>2147</v>
      </c>
      <c r="B19" s="2435" t="s">
        <v>2148</v>
      </c>
      <c r="C19" s="143">
        <f ca="1">SUMIF(INDIRECT("'"&amp;C4&amp;"'"&amp;"!A:A"),结果表!B19,INDIRECT("'"&amp;C4&amp;"'"&amp;"!B:B"))</f>
        <v>190492</v>
      </c>
      <c r="D19" s="144">
        <f ca="1">SUMIF(INDIRECT("'"&amp;D4&amp;"'"&amp;"!A:A"),结果表!B19,INDIRECT("'"&amp;D4&amp;"'"&amp;"!B:B"))</f>
        <v>161338</v>
      </c>
      <c r="E19" s="2434" t="s">
        <v>2149</v>
      </c>
      <c r="F19" s="2435" t="s">
        <v>2148</v>
      </c>
      <c r="G19" s="145">
        <f ca="1">ROUND(C19*$C$18+D19*$D$18,0)</f>
        <v>175915</v>
      </c>
      <c r="H19" s="2436" t="s">
        <v>2150</v>
      </c>
      <c r="I19" s="138"/>
      <c r="K19" s="2428" t="s">
        <v>2151</v>
      </c>
      <c r="L19" s="2428">
        <f>IF(C1="",'数据-汇总表'!D3,SUMIF(项目类型,C1,'数据-汇总表'!D17:D26)+SUMIF(项目类型,C1,'数据-汇总表'!H17:H27))</f>
        <v>22165.75</v>
      </c>
      <c r="M19" s="2428">
        <f>IF(C1="",'数据-汇总表'!D3,SUMIF(项目类型,C1,'数据-汇总表'!D17:D26))</f>
        <v>22165.75</v>
      </c>
    </row>
    <row r="20" spans="1:35" ht="15">
      <c r="A20" s="2437"/>
      <c r="B20" s="1246" t="s">
        <v>2152</v>
      </c>
      <c r="C20" s="146">
        <f ca="1">SUMIF(INDIRECT("'"&amp;C4&amp;"'"&amp;"!A:A"),结果表!B20,INDIRECT("'"&amp;C4&amp;"'"&amp;"!B:B"))</f>
        <v>13517</v>
      </c>
      <c r="D20" s="147">
        <f ca="1">SUMIF(INDIRECT("'"&amp;D4&amp;"'"&amp;"!A:A"),结果表!B20,INDIRECT("'"&amp;D4&amp;"'"&amp;"!B:B"))</f>
        <v>11448</v>
      </c>
      <c r="E20" s="2437"/>
      <c r="F20" s="1246" t="s">
        <v>2152</v>
      </c>
      <c r="G20" s="148">
        <f ca="1">ROUND(C20*$C$18+D20*$D$18,0)</f>
        <v>12483</v>
      </c>
      <c r="H20" s="979" t="s">
        <v>2153</v>
      </c>
      <c r="I20" s="138"/>
    </row>
    <row r="21" spans="1:35" ht="15" customHeight="1" thickBot="1">
      <c r="A21" s="999"/>
      <c r="B21" s="2438" t="s">
        <v>2154</v>
      </c>
      <c r="C21" s="789">
        <f ca="1">ROUND(C19*10000/L19,0)</f>
        <v>85940</v>
      </c>
      <c r="D21" s="790">
        <f ca="1">ROUND(D19*10000/L19,0)</f>
        <v>72787</v>
      </c>
      <c r="E21" s="999"/>
      <c r="F21" s="2438" t="s">
        <v>2154</v>
      </c>
      <c r="G21" s="149">
        <f ca="1">ROUND(G19*10000/L19,0)</f>
        <v>79363</v>
      </c>
      <c r="H21" s="2439" t="s">
        <v>2153</v>
      </c>
      <c r="I21" s="138"/>
    </row>
    <row r="22" spans="1:35" ht="15" thickBot="1">
      <c r="A22" s="2280" t="s">
        <v>2155</v>
      </c>
      <c r="B22" s="2440"/>
      <c r="C22" s="2441"/>
      <c r="D22" s="791">
        <f ca="1">IF(C19&lt;D19,D19/C19-1,C19/D19-1)</f>
        <v>0.1807013846706913</v>
      </c>
      <c r="E22" s="138"/>
      <c r="F22" s="138"/>
      <c r="G22" s="138"/>
      <c r="H22" s="138"/>
      <c r="I22" s="138"/>
    </row>
    <row r="23" spans="1:35" ht="13.5" thickBot="1">
      <c r="A23" s="2418"/>
      <c r="B23" s="2418"/>
      <c r="C23" s="2418"/>
      <c r="D23" s="2418"/>
      <c r="E23" s="138"/>
      <c r="F23" s="138"/>
      <c r="G23" s="138"/>
      <c r="H23" s="138"/>
      <c r="I23" s="138"/>
    </row>
    <row r="24" spans="1:35" ht="14.25">
      <c r="A24" s="3086" t="s">
        <v>2156</v>
      </c>
      <c r="B24" s="2435" t="s">
        <v>2148</v>
      </c>
      <c r="C24" s="145">
        <f>IF(B30=0,0,D30)</f>
        <v>0</v>
      </c>
      <c r="D24" s="2442"/>
      <c r="E24" s="138"/>
      <c r="F24" s="138"/>
      <c r="G24" s="138"/>
      <c r="H24" s="138"/>
      <c r="I24" s="138"/>
    </row>
    <row r="25" spans="1:35" ht="14.25">
      <c r="A25" s="3087"/>
      <c r="B25" s="1246"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175915</v>
      </c>
      <c r="D32" s="2449" t="s">
        <v>2163</v>
      </c>
      <c r="E32" s="138"/>
      <c r="F32" s="138"/>
      <c r="G32" s="138"/>
      <c r="H32" s="138"/>
      <c r="I32" s="138"/>
    </row>
    <row r="33" spans="1:15" ht="15">
      <c r="A33" s="956"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2167</v>
      </c>
      <c r="F34" s="1735"/>
      <c r="G34" s="138"/>
      <c r="H34" s="138"/>
      <c r="I34" s="138"/>
    </row>
    <row r="35" spans="1:15" ht="15.75" thickBot="1">
      <c r="A35" s="2458"/>
      <c r="B35" s="2459"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04" t="s">
        <v>2170</v>
      </c>
      <c r="B36" s="2461" t="s">
        <v>2171</v>
      </c>
      <c r="C36" s="154"/>
      <c r="D36" s="2462"/>
      <c r="E36" s="2463"/>
      <c r="F36" s="2464"/>
      <c r="G36" s="138"/>
      <c r="H36" s="138"/>
      <c r="I36" s="138"/>
    </row>
    <row r="37" spans="1:15" ht="15.75" thickBot="1">
      <c r="A37" s="3105"/>
      <c r="B37" s="2266" t="s">
        <v>2172</v>
      </c>
      <c r="C37" s="156"/>
      <c r="D37" s="1391"/>
      <c r="E37" s="1391"/>
      <c r="F37" s="2464"/>
      <c r="G37" s="138"/>
      <c r="H37" s="138"/>
      <c r="I37" s="138"/>
    </row>
    <row r="38" spans="1:15" ht="15.75" thickBot="1">
      <c r="A38" s="3106"/>
      <c r="B38" s="2465" t="s">
        <v>2173</v>
      </c>
      <c r="C38" s="727"/>
      <c r="D38" s="2466" t="s">
        <v>2174</v>
      </c>
      <c r="E38" s="1391"/>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83" t="s">
        <v>2184</v>
      </c>
      <c r="B45" s="3084"/>
      <c r="C45" s="3085"/>
      <c r="D45" s="164">
        <f ca="1">ROUND(H101*F45,0)</f>
        <v>175915</v>
      </c>
      <c r="E45" s="165" t="s">
        <v>2185</v>
      </c>
      <c r="F45" s="166">
        <v>1</v>
      </c>
      <c r="G45" s="167" t="s">
        <v>2186</v>
      </c>
      <c r="H45" s="138"/>
      <c r="I45" s="138"/>
      <c r="J45" s="3143" t="s">
        <v>2187</v>
      </c>
      <c r="K45" s="3143"/>
      <c r="L45" s="3143"/>
      <c r="M45" s="3143"/>
      <c r="N45" s="3143"/>
      <c r="O45" s="3143"/>
    </row>
    <row r="46" spans="1:15" ht="14.25" customHeight="1">
      <c r="A46" s="3080" t="s">
        <v>2188</v>
      </c>
      <c r="B46" s="3081"/>
      <c r="C46" s="3081"/>
      <c r="D46" s="3081"/>
      <c r="E46" s="3081"/>
      <c r="F46" s="3081"/>
      <c r="G46" s="3082"/>
      <c r="H46" s="2480"/>
      <c r="I46" s="168"/>
      <c r="J46" s="1808">
        <v>1</v>
      </c>
      <c r="K46" s="3143" t="s">
        <v>2189</v>
      </c>
      <c r="L46" s="3143"/>
      <c r="M46" s="3163"/>
      <c r="N46" s="3163"/>
      <c r="O46" s="3163"/>
    </row>
    <row r="47" spans="1:15" ht="12" customHeight="1">
      <c r="A47" s="169" t="s">
        <v>2190</v>
      </c>
      <c r="B47" s="170"/>
      <c r="C47" s="171"/>
      <c r="D47" s="172" t="s">
        <v>2191</v>
      </c>
      <c r="E47" s="24" t="s">
        <v>2192</v>
      </c>
      <c r="F47" s="173" t="s">
        <v>2193</v>
      </c>
      <c r="G47" s="174" t="s">
        <v>2194</v>
      </c>
      <c r="H47" s="2480"/>
      <c r="I47" s="168"/>
      <c r="J47" s="1808">
        <v>2</v>
      </c>
      <c r="K47" s="3143" t="s">
        <v>2195</v>
      </c>
      <c r="L47" s="3143"/>
      <c r="M47" s="3164">
        <f>'数据-取费表'!B2</f>
        <v>43633</v>
      </c>
      <c r="N47" s="3164"/>
      <c r="O47" s="3164"/>
    </row>
    <row r="48" spans="1:15" ht="25.5">
      <c r="A48" s="3111" t="s">
        <v>2196</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143" t="s">
        <v>2199</v>
      </c>
      <c r="L48" s="3143"/>
      <c r="M48" s="3165">
        <f ca="1">H101</f>
        <v>175915</v>
      </c>
      <c r="N48" s="3165"/>
      <c r="O48" s="3165"/>
    </row>
    <row r="49" spans="1:35" ht="25.5" customHeight="1">
      <c r="A49" s="176" t="s">
        <v>2200</v>
      </c>
      <c r="B49" s="3079" t="s">
        <v>2201</v>
      </c>
      <c r="C49" s="3079"/>
      <c r="D49" s="177">
        <v>0</v>
      </c>
      <c r="E49" s="23" t="s">
        <v>2202</v>
      </c>
      <c r="F49" s="28" t="s">
        <v>34</v>
      </c>
      <c r="G49" s="3149"/>
      <c r="H49" s="138"/>
      <c r="I49" s="2483"/>
      <c r="J49" s="1808">
        <v>4</v>
      </c>
      <c r="K49" s="3143" t="str">
        <f>IF(项目基本情况!E8="房地产抵押价值","房地产抵押价值","抵押担保权已注销时的房地产抵押价值")</f>
        <v>房地产抵押价值</v>
      </c>
      <c r="L49" s="3143"/>
      <c r="M49" s="3165">
        <f ca="1">IF(项目基本情况!E8="房地产抵押价值",H107,H109)</f>
        <v>175915</v>
      </c>
      <c r="N49" s="3165"/>
      <c r="O49" s="3165"/>
    </row>
    <row r="50" spans="1:35" ht="25.5" customHeight="1">
      <c r="A50" s="178"/>
      <c r="B50" s="3079" t="s">
        <v>2203</v>
      </c>
      <c r="C50" s="3079"/>
      <c r="D50" s="179"/>
      <c r="E50" s="31"/>
      <c r="F50" s="180"/>
      <c r="G50" s="3150"/>
      <c r="H50" s="138"/>
      <c r="I50" s="2483"/>
      <c r="J50" s="3143" t="s">
        <v>2204</v>
      </c>
      <c r="K50" s="3143"/>
      <c r="L50" s="3143"/>
      <c r="M50" s="3143"/>
      <c r="N50" s="3143"/>
      <c r="O50" s="3143"/>
    </row>
    <row r="51" spans="1:35" ht="12" customHeight="1">
      <c r="A51" s="181"/>
      <c r="B51" s="3079" t="s">
        <v>2205</v>
      </c>
      <c r="C51" s="3079"/>
      <c r="D51" s="182"/>
      <c r="E51" s="30"/>
      <c r="F51" s="180"/>
      <c r="G51" s="3151"/>
      <c r="H51" s="138"/>
      <c r="I51" s="2483"/>
      <c r="J51" s="2484" t="s">
        <v>2206</v>
      </c>
      <c r="K51" s="3143" t="s">
        <v>2207</v>
      </c>
      <c r="L51" s="3143"/>
      <c r="M51" s="2484" t="s">
        <v>2208</v>
      </c>
      <c r="N51" s="2484" t="s">
        <v>2209</v>
      </c>
      <c r="O51" s="2484" t="s">
        <v>2210</v>
      </c>
    </row>
    <row r="52" spans="1:35" ht="24" customHeight="1">
      <c r="A52" s="183" t="s">
        <v>2211</v>
      </c>
      <c r="B52" s="3079" t="s">
        <v>2212</v>
      </c>
      <c r="C52" s="3079"/>
      <c r="D52" s="182">
        <f ca="1">ROUND(D45*'数据-取费表'!B41/(1+'数据-取费表'!C42),0)</f>
        <v>9382</v>
      </c>
      <c r="E52" s="11" t="s">
        <v>2213</v>
      </c>
      <c r="F52" s="184">
        <f>'数据-取费表'!B41</f>
        <v>5.6000000000000001E-2</v>
      </c>
      <c r="G52" s="2485"/>
      <c r="H52" s="138"/>
      <c r="I52" s="2483"/>
      <c r="J52" s="1808">
        <v>1</v>
      </c>
      <c r="K52" s="3144" t="s">
        <v>2214</v>
      </c>
      <c r="L52" s="3144"/>
      <c r="M52" s="1750">
        <f>D48</f>
        <v>0</v>
      </c>
      <c r="N52" s="1808" t="str">
        <f>E48</f>
        <v>销售额×税（费）率</v>
      </c>
      <c r="O52" s="1751" t="str">
        <f>F48</f>
        <v>免征</v>
      </c>
    </row>
    <row r="53" spans="1:35" ht="12" customHeight="1">
      <c r="A53" s="183" t="s">
        <v>2215</v>
      </c>
      <c r="B53" s="3102" t="s">
        <v>2216</v>
      </c>
      <c r="C53" s="3103"/>
      <c r="D53" s="182">
        <f ca="1">ROUND(D45*'数据-取费表'!B41/(1+'数据-取费表'!C42),0)</f>
        <v>9382</v>
      </c>
      <c r="E53" s="11" t="s">
        <v>2213</v>
      </c>
      <c r="F53" s="184">
        <f>'数据-取费表'!B41</f>
        <v>5.6000000000000001E-2</v>
      </c>
      <c r="G53" s="2485"/>
      <c r="H53" s="138"/>
      <c r="I53" s="2483"/>
      <c r="J53" s="1808">
        <v>2</v>
      </c>
      <c r="K53" s="3144" t="s">
        <v>2217</v>
      </c>
      <c r="L53" s="3144"/>
      <c r="M53" s="1750">
        <f t="shared" ref="M53:O54" ca="1" si="0">D55</f>
        <v>88</v>
      </c>
      <c r="N53" s="1808" t="str">
        <f t="shared" si="0"/>
        <v>销售额×税（费）率</v>
      </c>
      <c r="O53" s="1751">
        <f t="shared" si="0"/>
        <v>5.0000000000000001E-4</v>
      </c>
    </row>
    <row r="54" spans="1:35" ht="12" customHeight="1">
      <c r="A54" s="183" t="s">
        <v>2218</v>
      </c>
      <c r="B54" s="3102" t="s">
        <v>2219</v>
      </c>
      <c r="C54" s="3103"/>
      <c r="D54" s="182">
        <f ca="1">C68</f>
        <v>9382</v>
      </c>
      <c r="E54" s="30" t="s">
        <v>2220</v>
      </c>
      <c r="F54" s="184">
        <f>'数据-取费表'!B41</f>
        <v>5.6000000000000001E-2</v>
      </c>
      <c r="G54" s="2485"/>
      <c r="H54" s="2486"/>
      <c r="I54" s="2483"/>
      <c r="J54" s="1808">
        <v>3</v>
      </c>
      <c r="K54" s="3144" t="s">
        <v>2221</v>
      </c>
      <c r="L54" s="3144"/>
      <c r="M54" s="1750">
        <f t="shared" ca="1" si="0"/>
        <v>99568</v>
      </c>
      <c r="N54" s="1808" t="str">
        <f t="shared" si="0"/>
        <v>增值额×税（费）率</v>
      </c>
      <c r="O54" s="1752" t="str">
        <f t="shared" si="0"/>
        <v>——</v>
      </c>
    </row>
    <row r="55" spans="1:35" ht="24" customHeight="1">
      <c r="A55" s="3093" t="s">
        <v>2222</v>
      </c>
      <c r="B55" s="3094"/>
      <c r="C55" s="3094"/>
      <c r="D55" s="185">
        <f ca="1">IF(H55="个人住宅",0,ROUND(D45*I55,0))</f>
        <v>88</v>
      </c>
      <c r="E55" s="11" t="s">
        <v>2223</v>
      </c>
      <c r="F55" s="184">
        <f>IF(H55="正常",I55,"免征")</f>
        <v>5.0000000000000001E-4</v>
      </c>
      <c r="G55" s="2485"/>
      <c r="H55" s="2482" t="s">
        <v>2224</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4.75">
      <c r="A56" s="3093" t="s">
        <v>2225</v>
      </c>
      <c r="B56" s="3094"/>
      <c r="C56" s="3094"/>
      <c r="D56" s="185">
        <f ca="1">IF(H56="个人住宅",D57,D58)</f>
        <v>99568</v>
      </c>
      <c r="E56" s="11" t="s">
        <v>2226</v>
      </c>
      <c r="F56" s="184" t="str">
        <f>IF(H56="正常",F58,"免征")</f>
        <v>——</v>
      </c>
      <c r="G56" s="2487" t="s">
        <v>2227</v>
      </c>
      <c r="H56" s="2488" t="s">
        <v>2224</v>
      </c>
      <c r="I56" s="2489"/>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2.75">
      <c r="A57" s="183" t="s">
        <v>2200</v>
      </c>
      <c r="B57" s="3109" t="s">
        <v>2228</v>
      </c>
      <c r="C57" s="3118"/>
      <c r="D57" s="187">
        <v>0</v>
      </c>
      <c r="E57" s="23" t="s">
        <v>2202</v>
      </c>
      <c r="F57" s="155"/>
      <c r="G57" s="2485"/>
      <c r="H57" s="2489"/>
      <c r="I57" s="2489"/>
      <c r="J57" s="3144">
        <f>IF(AND(J55="",J56=""),4,IF(项目基本情况!K6="上海银行",结果表!J56+1,结果表!J55+1))</f>
        <v>4</v>
      </c>
      <c r="K57" s="3144" t="s">
        <v>2229</v>
      </c>
      <c r="L57" s="2490" t="s">
        <v>2230</v>
      </c>
      <c r="M57" s="1755"/>
      <c r="N57" s="1756">
        <f ca="1">SUMIF(M52:M56,"&lt;9e307")</f>
        <v>99656</v>
      </c>
      <c r="O57" s="2491"/>
      <c r="P57" s="1749">
        <f ca="1">N57/M49</f>
        <v>0.56650086689594403</v>
      </c>
    </row>
    <row r="58" spans="1:35" ht="24.75">
      <c r="A58" s="183" t="s">
        <v>2211</v>
      </c>
      <c r="B58" s="3109" t="s">
        <v>2231</v>
      </c>
      <c r="C58" s="3110"/>
      <c r="D58" s="185">
        <f ca="1">IF(H58="转让取得",C81,C97)</f>
        <v>99568</v>
      </c>
      <c r="E58" s="11" t="s">
        <v>2226</v>
      </c>
      <c r="F58" s="24" t="s">
        <v>34</v>
      </c>
      <c r="G58" s="2485"/>
      <c r="H58" s="2488" t="s">
        <v>2232</v>
      </c>
      <c r="I58" s="2489"/>
      <c r="J58" s="3144"/>
      <c r="K58" s="3144"/>
      <c r="L58" s="2490" t="s">
        <v>2233</v>
      </c>
      <c r="M58" s="1757"/>
      <c r="N58" s="2492" t="str">
        <f ca="1">NUMBERSTRING(INT(N57*10000),2)&amp;"元整"</f>
        <v>玖亿玖仟陆佰伍拾陆万元整</v>
      </c>
      <c r="O58" s="2493"/>
    </row>
    <row r="59" spans="1:35" ht="24.75" thickBot="1">
      <c r="A59" s="3147" t="s">
        <v>2234</v>
      </c>
      <c r="B59" s="3148"/>
      <c r="C59" s="3148"/>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45">
        <f>J57+1</f>
        <v>5</v>
      </c>
      <c r="K59" s="3144" t="s">
        <v>2236</v>
      </c>
      <c r="L59" s="1808" t="s">
        <v>2230</v>
      </c>
      <c r="M59" s="1758"/>
      <c r="N59" s="1759">
        <f ca="1">M49-N57</f>
        <v>76259</v>
      </c>
      <c r="O59" s="2495"/>
    </row>
    <row r="60" spans="1:35" ht="12" customHeight="1">
      <c r="A60" s="2496"/>
      <c r="B60" s="2418"/>
      <c r="C60" s="2418"/>
      <c r="D60" s="2418"/>
      <c r="E60" s="2166"/>
      <c r="F60" s="2489"/>
      <c r="G60" s="2489"/>
      <c r="H60" s="2497"/>
      <c r="I60" s="138"/>
      <c r="J60" s="3146"/>
      <c r="K60" s="3144"/>
      <c r="L60" s="2490" t="s">
        <v>2233</v>
      </c>
      <c r="M60" s="1757"/>
      <c r="N60" s="2492" t="str">
        <f ca="1">NUMBERSTRING(INT(N59*10000),2)&amp;"元整"</f>
        <v>柒亿陆仟贰佰伍拾玖万元整</v>
      </c>
      <c r="O60" s="2493"/>
    </row>
    <row r="61" spans="1:35" ht="13.5" thickBot="1">
      <c r="A61" s="3091" t="s">
        <v>2237</v>
      </c>
      <c r="B61" s="3091"/>
      <c r="C61" s="3091"/>
      <c r="D61" s="3091"/>
      <c r="E61" s="3091"/>
      <c r="F61" s="2489"/>
      <c r="G61" s="2489"/>
      <c r="H61" s="2497"/>
      <c r="I61" s="138"/>
      <c r="J61" s="1808">
        <f>J59+1</f>
        <v>6</v>
      </c>
      <c r="K61" s="3144" t="s">
        <v>2238</v>
      </c>
      <c r="L61" s="3144"/>
      <c r="M61" s="1760"/>
      <c r="N61" s="1761">
        <f ca="1">ROUND(N59*10000/'数据-汇总表'!E3,0)</f>
        <v>5411</v>
      </c>
      <c r="O61" s="2498"/>
    </row>
    <row r="62" spans="1:35" ht="12.75">
      <c r="A62" s="3107" t="s">
        <v>2239</v>
      </c>
      <c r="B62" s="3108"/>
      <c r="C62" s="1800"/>
      <c r="D62" s="1800" t="s">
        <v>2240</v>
      </c>
      <c r="E62" s="192" t="s">
        <v>2241</v>
      </c>
      <c r="F62" s="2489"/>
      <c r="G62" s="2489"/>
      <c r="H62" s="2497"/>
      <c r="I62" s="138"/>
    </row>
    <row r="63" spans="1:35" ht="12.75">
      <c r="A63" s="203" t="s">
        <v>775</v>
      </c>
      <c r="B63" s="193" t="s">
        <v>2242</v>
      </c>
      <c r="C63" s="194">
        <f ca="1">ROUND((C64+C65)/(1+'数据-取费表'!C42),0)</f>
        <v>167538</v>
      </c>
      <c r="D63" s="195"/>
      <c r="E63" s="196"/>
      <c r="F63" s="2489"/>
      <c r="G63" s="2489"/>
      <c r="H63" s="2497"/>
      <c r="I63" s="138"/>
      <c r="J63" s="3169" t="s">
        <v>2243</v>
      </c>
      <c r="K63" s="2499" t="s">
        <v>2244</v>
      </c>
      <c r="L63" s="1748">
        <f ca="1">IF(M49&gt;10000,M49*0.5%,IF(AND(M49&gt;1000,M49&lt;=10000),M49*1%,IF(AND(M49&gt;100,M49&lt;=1000),M49*3%,IF(AND(M49&gt;10,M49&lt;=100),M49*5%,M49*8%))))</f>
        <v>879.57500000000005</v>
      </c>
      <c r="M63" s="24">
        <f ca="1">ROUND(L63,1)</f>
        <v>879.6</v>
      </c>
      <c r="Z63" s="2423"/>
      <c r="AI63" s="2424"/>
    </row>
    <row r="64" spans="1:35" ht="14.25" customHeight="1">
      <c r="A64" s="197" t="s">
        <v>770</v>
      </c>
      <c r="B64" s="198" t="s">
        <v>2245</v>
      </c>
      <c r="C64" s="199">
        <f ca="1">D45</f>
        <v>175915</v>
      </c>
      <c r="D64" s="200" t="s">
        <v>32</v>
      </c>
      <c r="E64" s="201"/>
      <c r="F64" s="2489"/>
      <c r="G64" s="2489"/>
      <c r="H64" s="2497"/>
      <c r="I64" s="138"/>
      <c r="J64" s="3169"/>
      <c r="K64" s="2499" t="s">
        <v>2246</v>
      </c>
      <c r="L64" s="1748">
        <f ca="1">IF(M49&gt;2000,M49*0.5%,IF(AND(M49&gt;1000,M49&lt;=2000),M49*0.6%,IF(AND(M49&gt;500,M49&lt;=1000),M49*0.7%,IF(AND(M49&gt;200,M49&lt;=500),M49*0.8%,IF(AND(M49&gt;100,M49&lt;=200),M49*0.9%,IF(AND(M49&gt;50,M49&lt;=100),M49*1%,IF(AND(M49&gt;20,M49&lt;=50),M49*1.5%,IF(AND(M49&gt;10,M49&lt;=20),M49*2%,IF(AND(M49&gt;1,M49&lt;=10),M49*2.5%)))))))))</f>
        <v>879.57500000000005</v>
      </c>
      <c r="M64" s="24">
        <f t="shared" ref="M64:M65" ca="1" si="1">ROUND(L64,1)</f>
        <v>879.6</v>
      </c>
      <c r="N64" s="138" t="s">
        <v>2247</v>
      </c>
      <c r="Z64" s="2423"/>
      <c r="AI64" s="2424"/>
    </row>
    <row r="65" spans="1:35" ht="14.25" customHeight="1">
      <c r="A65" s="197" t="s">
        <v>771</v>
      </c>
      <c r="B65" s="198" t="s">
        <v>2248</v>
      </c>
      <c r="C65" s="202"/>
      <c r="D65" s="200"/>
      <c r="E65" s="201"/>
      <c r="F65" s="2489"/>
      <c r="G65" s="2489"/>
      <c r="H65" s="2497"/>
      <c r="I65" s="138"/>
      <c r="J65" s="3169"/>
      <c r="K65" s="2499" t="s">
        <v>2249</v>
      </c>
      <c r="L65" s="1748">
        <f ca="1">IF(M49&gt;1000,M49*0.1%,IF(AND(M49&gt;500,M49&lt;=1000),M49*0.5%,IF(AND(M49&gt;50,M49&lt;=500),M49*1%,IF(AND(M49&gt;1,M49&lt;=50),M49*1.5%))))</f>
        <v>175.91499999999999</v>
      </c>
      <c r="M65" s="24">
        <f t="shared" ca="1" si="1"/>
        <v>175.9</v>
      </c>
      <c r="N65" s="138" t="s">
        <v>2247</v>
      </c>
      <c r="Z65" s="2423"/>
      <c r="AI65" s="2424"/>
    </row>
    <row r="66" spans="1:35" ht="14.25" customHeight="1">
      <c r="A66" s="203" t="s">
        <v>772</v>
      </c>
      <c r="B66" s="204" t="s">
        <v>2250</v>
      </c>
      <c r="C66" s="205"/>
      <c r="D66" s="206" t="s">
        <v>32</v>
      </c>
      <c r="E66" s="1772" t="s">
        <v>1367</v>
      </c>
      <c r="F66" s="2489"/>
      <c r="G66" s="2489"/>
      <c r="H66" s="2497"/>
      <c r="I66" s="138"/>
      <c r="J66" s="3169"/>
      <c r="K66" s="2499" t="s">
        <v>2251</v>
      </c>
      <c r="L66" s="1748">
        <f ca="1">M49*0.5%</f>
        <v>879.57500000000005</v>
      </c>
      <c r="M66" s="24">
        <f ca="1">IF(L66&gt;0.5,0.5,ROUND(L66,0))</f>
        <v>0.5</v>
      </c>
      <c r="N66" s="138" t="s">
        <v>2252</v>
      </c>
      <c r="Z66" s="2423"/>
      <c r="AI66" s="2424"/>
    </row>
    <row r="67" spans="1:35" ht="14.25" customHeight="1">
      <c r="A67" s="203" t="s">
        <v>773</v>
      </c>
      <c r="B67" s="204" t="s">
        <v>2253</v>
      </c>
      <c r="C67" s="207">
        <f ca="1">C63-C66</f>
        <v>167538</v>
      </c>
      <c r="D67" s="200" t="s">
        <v>32</v>
      </c>
      <c r="E67" s="201"/>
      <c r="F67" s="2489"/>
      <c r="G67" s="2489"/>
      <c r="H67" s="2497"/>
      <c r="I67" s="138"/>
      <c r="J67" s="3169"/>
      <c r="K67" s="2499" t="s">
        <v>2254</v>
      </c>
      <c r="L67" s="1748">
        <f ca="1">IF(M49&gt;=10000,(8.25+(M49-10000)*0.01%),IF(AND(M49&gt;=8000,M49&lt;10000),(7.85+(M49-8000)*0.02%),IF(AND(M49&gt;=5000,M49&lt;8000),(6.65+(M49-5000)*0.04%),IF(AND(M49&gt;=2000,M49&lt;5000),(4.25+(PM49-2000)*0.08%),IF(AND(M49&gt;=1000,M49&lt;2000),(2.75+(M49-1000)*0.15%),IF(AND(M49&gt;=100,M49&lt;1000),(0.5+(M49-100)*0.25%),IF(AND(M49&gt;0,M49&lt;100),M49*0.5%)))))))</f>
        <v>24.8415</v>
      </c>
      <c r="M67" s="24">
        <f ca="1">ROUND(L67*0.9,1)</f>
        <v>22.4</v>
      </c>
      <c r="Z67" s="2423"/>
      <c r="AI67" s="2424"/>
    </row>
    <row r="68" spans="1:35" ht="14.25" customHeight="1" thickBot="1">
      <c r="A68" s="208" t="s">
        <v>774</v>
      </c>
      <c r="B68" s="209" t="s">
        <v>2255</v>
      </c>
      <c r="C68" s="210">
        <f ca="1">IF(C67&lt;=0,0,ROUND(C67*D68,0))</f>
        <v>9382</v>
      </c>
      <c r="D68" s="211">
        <f>'数据-取费表'!B41</f>
        <v>5.6000000000000001E-2</v>
      </c>
      <c r="E68" s="212"/>
      <c r="F68" s="2489"/>
      <c r="G68" s="2489"/>
      <c r="H68" s="2497"/>
      <c r="I68" s="138"/>
      <c r="J68" s="3169"/>
      <c r="K68" s="2499" t="s">
        <v>2256</v>
      </c>
      <c r="L68" s="1748">
        <f ca="1">IF(M49&gt;10000,M49*0.5%,IF(AND(M49&gt;5000,M49&lt;=10000),M49*1%,IF(AND(M49&gt;1000,M49&lt;=5000),M49*2%,IF(AND(M49&gt;200,M49&lt;=1000),M49*3%,M49*5%))))</f>
        <v>879.57500000000005</v>
      </c>
      <c r="M68" s="24">
        <f ca="1">ROUND(L68,1)</f>
        <v>879.6</v>
      </c>
      <c r="Z68" s="2423"/>
      <c r="AI68" s="2424"/>
    </row>
    <row r="69" spans="1:35" s="2446" customFormat="1" ht="16.5" customHeight="1">
      <c r="A69" s="2500"/>
      <c r="B69" s="2501"/>
      <c r="C69" s="2502"/>
      <c r="D69" s="2503"/>
      <c r="E69" s="2504"/>
      <c r="F69" s="2166"/>
      <c r="G69" s="2166"/>
      <c r="H69" s="2165"/>
      <c r="I69" s="2418"/>
      <c r="J69" s="3169"/>
      <c r="K69" s="2499" t="s">
        <v>2257</v>
      </c>
      <c r="L69" s="2505"/>
      <c r="M69" s="24">
        <f ca="1">ROUND(SUM(M63:M68),0)</f>
        <v>2838</v>
      </c>
      <c r="N69" s="1749">
        <f ca="1">M69/M49</f>
        <v>1.6132791404939884E-2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8" t="s">
        <v>2258</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2239</v>
      </c>
      <c r="B71" s="3108"/>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167538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1005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02" t="s">
        <v>2267</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1005</v>
      </c>
      <c r="D78" s="226">
        <f>'数据-取费表'!B43</f>
        <v>6.000000000000001E-3</v>
      </c>
      <c r="E78" s="3088" t="s">
        <v>2272</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166533</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165.70447761194029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99568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2276</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2239</v>
      </c>
      <c r="B84" s="3108"/>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167538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1005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88" t="s">
        <v>2285</v>
      </c>
      <c r="F91" s="3089"/>
      <c r="G91" s="3089"/>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88" t="s">
        <v>2289</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1005</v>
      </c>
      <c r="D93" s="226">
        <f>'数据-取费表'!B43</f>
        <v>6.000000000000001E-3</v>
      </c>
      <c r="E93" s="3088" t="s">
        <v>2272</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99" t="s">
        <v>2293</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166533</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165.70447761194029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99568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3" t="s">
        <v>2295</v>
      </c>
      <c r="B100" s="3074"/>
      <c r="C100" s="3074"/>
      <c r="D100" s="3090"/>
      <c r="E100" s="3074" t="s">
        <v>2296</v>
      </c>
      <c r="F100" s="3074"/>
      <c r="G100" s="3074"/>
      <c r="H100" s="3090"/>
      <c r="I100" s="138"/>
    </row>
    <row r="101" spans="1:35" ht="18.75" customHeight="1">
      <c r="A101" s="3152" t="s">
        <v>2297</v>
      </c>
      <c r="B101" s="3153"/>
      <c r="C101" s="736" t="str">
        <f>C4</f>
        <v>成本法</v>
      </c>
      <c r="D101" s="737" t="str">
        <f>D4</f>
        <v>假设开发法</v>
      </c>
      <c r="E101" s="3166" t="s">
        <v>2298</v>
      </c>
      <c r="F101" s="3120"/>
      <c r="G101" s="2520" t="s">
        <v>2299</v>
      </c>
      <c r="H101" s="1044">
        <f ca="1">H118</f>
        <v>175915</v>
      </c>
      <c r="I101" s="138"/>
    </row>
    <row r="102" spans="1:35" ht="18.75" customHeight="1">
      <c r="A102" s="3122" t="s">
        <v>2300</v>
      </c>
      <c r="B102" s="2520" t="s">
        <v>2299</v>
      </c>
      <c r="C102" s="736">
        <f ca="1">C19</f>
        <v>190492</v>
      </c>
      <c r="D102" s="737">
        <f ca="1">D19</f>
        <v>161338</v>
      </c>
      <c r="E102" s="3166"/>
      <c r="F102" s="3120"/>
      <c r="G102" s="2520" t="s">
        <v>2301</v>
      </c>
      <c r="H102" s="371">
        <f ca="1">I118</f>
        <v>12482</v>
      </c>
      <c r="I102" s="138"/>
    </row>
    <row r="103" spans="1:35" ht="42.75" customHeight="1">
      <c r="A103" s="3122"/>
      <c r="B103" s="2520" t="s">
        <v>2301</v>
      </c>
      <c r="C103" s="738">
        <f ca="1">C20</f>
        <v>13517</v>
      </c>
      <c r="D103" s="739">
        <f ca="1">D20</f>
        <v>11448</v>
      </c>
      <c r="E103" s="3161" t="s">
        <v>2302</v>
      </c>
      <c r="F103" s="3162"/>
      <c r="G103" s="2521" t="s">
        <v>2303</v>
      </c>
      <c r="H103" s="1044">
        <f>IF(D36="正常操作",H104+H105+H106,H105+H106)</f>
        <v>0</v>
      </c>
      <c r="I103" s="138"/>
    </row>
    <row r="104" spans="1:35" ht="18.75" customHeight="1">
      <c r="A104" s="3122" t="s">
        <v>2304</v>
      </c>
      <c r="B104" s="2522" t="s">
        <v>2299</v>
      </c>
      <c r="C104" s="740">
        <f ca="1">H118</f>
        <v>175915</v>
      </c>
      <c r="D104" s="741"/>
      <c r="E104" s="2266" t="s">
        <v>2305</v>
      </c>
      <c r="F104" s="2258"/>
      <c r="G104" s="2521" t="s">
        <v>2303</v>
      </c>
      <c r="H104" s="1045">
        <f>IF(D36="同一抵押权人同一抵押物续贷",C36&amp;"（未扣减，详见特别提示）",C36)</f>
        <v>0</v>
      </c>
      <c r="I104" s="138"/>
    </row>
    <row r="105" spans="1:35" ht="18.75" customHeight="1" thickBot="1">
      <c r="A105" s="3123"/>
      <c r="B105" s="2523" t="s">
        <v>2301</v>
      </c>
      <c r="C105" s="742">
        <f ca="1">I118</f>
        <v>12482</v>
      </c>
      <c r="D105" s="743"/>
      <c r="E105" s="2266" t="s">
        <v>2306</v>
      </c>
      <c r="F105" s="2258"/>
      <c r="G105" s="2521" t="s">
        <v>2303</v>
      </c>
      <c r="H105" s="1045">
        <f>C37</f>
        <v>0</v>
      </c>
      <c r="I105" s="138"/>
    </row>
    <row r="106" spans="1:35" ht="18.75" customHeight="1">
      <c r="A106" s="2418" t="s">
        <v>2307</v>
      </c>
      <c r="B106" s="2418"/>
      <c r="C106" s="2418"/>
      <c r="D106" s="2418"/>
      <c r="E106" s="2524" t="s">
        <v>2308</v>
      </c>
      <c r="F106" s="2258"/>
      <c r="G106" s="2521" t="s">
        <v>2303</v>
      </c>
      <c r="H106" s="1045">
        <f>C38</f>
        <v>0</v>
      </c>
      <c r="I106" s="138"/>
    </row>
    <row r="107" spans="1:35" ht="18.75" customHeight="1">
      <c r="A107" s="138"/>
      <c r="B107" s="138"/>
      <c r="C107" s="138"/>
      <c r="D107" s="138"/>
      <c r="E107" s="3119" t="str">
        <f>IF(项目基本情况!E8="已注销","——","3.房地产抵押价值")</f>
        <v>3.房地产抵押价值</v>
      </c>
      <c r="F107" s="3120"/>
      <c r="G107" s="2520" t="s">
        <v>2299</v>
      </c>
      <c r="H107" s="1044">
        <f ca="1">IF(E107="——","——",H101-H103)</f>
        <v>175915</v>
      </c>
      <c r="I107" s="138"/>
    </row>
    <row r="108" spans="1:35" ht="18.75" customHeight="1">
      <c r="A108" s="138"/>
      <c r="B108" s="138"/>
      <c r="C108" s="138"/>
      <c r="D108" s="138"/>
      <c r="E108" s="3119"/>
      <c r="F108" s="3120"/>
      <c r="G108" s="2520" t="s">
        <v>2301</v>
      </c>
      <c r="H108" s="371">
        <f ca="1">ROUND(H107*10000/'数据-汇总表'!E3,0)</f>
        <v>12482</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2299</v>
      </c>
      <c r="H109" s="348" t="str">
        <f>IF(E109="——","——",H101-H105-H106)</f>
        <v>——</v>
      </c>
      <c r="I109" s="138"/>
    </row>
    <row r="110" spans="1:35" ht="18.75" customHeight="1">
      <c r="A110" s="138"/>
      <c r="B110" s="138"/>
      <c r="C110" s="138"/>
      <c r="D110" s="138"/>
      <c r="E110" s="3119"/>
      <c r="F110" s="3120"/>
      <c r="G110" s="2520" t="s">
        <v>2301</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2299</v>
      </c>
      <c r="H111" s="1044" t="str">
        <f>IF(E111="——","——",N59)</f>
        <v>——</v>
      </c>
      <c r="I111" s="138"/>
    </row>
    <row r="112" spans="1:35" ht="18.75" customHeight="1" thickBot="1">
      <c r="A112" s="138"/>
      <c r="B112" s="138"/>
      <c r="C112" s="138"/>
      <c r="D112" s="138"/>
      <c r="E112" s="3156"/>
      <c r="F112" s="3157"/>
      <c r="G112" s="2525" t="s">
        <v>2301</v>
      </c>
      <c r="H112" s="790" t="str">
        <f>IF(E111="——","——",N61)</f>
        <v>——</v>
      </c>
      <c r="I112" s="138"/>
    </row>
    <row r="113" spans="1:11" ht="18.75" customHeight="1">
      <c r="A113" s="138"/>
      <c r="B113" s="138"/>
      <c r="C113" s="138"/>
      <c r="D113" s="138"/>
      <c r="E113" s="3124" t="s">
        <v>2307</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2309</v>
      </c>
      <c r="B115" s="3138"/>
      <c r="C115" s="3138"/>
      <c r="D115" s="3138"/>
      <c r="E115" s="3138"/>
      <c r="F115" s="3138"/>
      <c r="G115" s="3138"/>
      <c r="H115" s="3138"/>
      <c r="I115" s="3139"/>
    </row>
    <row r="116" spans="1:11" ht="27" customHeight="1">
      <c r="A116" s="3030" t="s">
        <v>2310</v>
      </c>
      <c r="B116" s="3125" t="s">
        <v>2311</v>
      </c>
      <c r="C116" s="3125" t="s">
        <v>2312</v>
      </c>
      <c r="D116" s="3141" t="s">
        <v>2313</v>
      </c>
      <c r="E116" s="3142"/>
      <c r="F116" s="3133" t="s">
        <v>2314</v>
      </c>
      <c r="G116" s="3133"/>
      <c r="H116" s="3030" t="s">
        <v>2315</v>
      </c>
      <c r="I116" s="3030"/>
    </row>
    <row r="117" spans="1:11" ht="18.75" customHeight="1">
      <c r="A117" s="3030"/>
      <c r="B117" s="3126"/>
      <c r="C117" s="3126"/>
      <c r="D117" s="1794" t="s">
        <v>2316</v>
      </c>
      <c r="E117" s="1794" t="s">
        <v>2317</v>
      </c>
      <c r="F117" s="1794" t="s">
        <v>2316</v>
      </c>
      <c r="G117" s="1794" t="s">
        <v>2318</v>
      </c>
      <c r="H117" s="1794" t="s">
        <v>2316</v>
      </c>
      <c r="I117" s="1794" t="s">
        <v>2318</v>
      </c>
    </row>
    <row r="118" spans="1:11" ht="24.75" customHeight="1">
      <c r="A118" s="2526" t="str">
        <f>项目基本情况!S2</f>
        <v>北京市出让国有建设用地使用权及在建建筑物房地产</v>
      </c>
      <c r="B118" s="1794">
        <f>M18</f>
        <v>140932.81</v>
      </c>
      <c r="C118" s="1794">
        <f>M19</f>
        <v>22165.75</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175915</v>
      </c>
      <c r="I118" s="1794">
        <f ca="1">ROUND(IF(D32="楼面单价",C32,H118*10000/B118),0)</f>
        <v>12482</v>
      </c>
    </row>
    <row r="119" spans="1:11" ht="18.75" customHeight="1">
      <c r="A119" s="3030" t="s">
        <v>2319</v>
      </c>
      <c r="B119" s="3030"/>
      <c r="C119" s="3030"/>
      <c r="D119" s="3130" t="e">
        <f ca="1">NUMBERSTRING(INT(D118*10000),2)&amp;"元整"</f>
        <v>#REF!</v>
      </c>
      <c r="E119" s="3132"/>
      <c r="F119" s="3130" t="e">
        <f ca="1">NUMBERSTRING(INT(F118*10000),2)&amp;"元整"</f>
        <v>#REF!</v>
      </c>
      <c r="G119" s="3132"/>
      <c r="H119" s="3130" t="str">
        <f ca="1">NUMBERSTRING(INT(H118*10000),2)&amp;"元整"</f>
        <v>壹拾柒亿伍仟玖佰壹拾伍万元整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2319</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175915</v>
      </c>
      <c r="E122" s="3159"/>
      <c r="F122" s="3159"/>
      <c r="G122" s="3159"/>
      <c r="H122" s="3159"/>
      <c r="I122" s="3160"/>
    </row>
    <row r="123" spans="1:11" ht="18.75" customHeight="1">
      <c r="A123" s="3030" t="s">
        <v>2319</v>
      </c>
      <c r="B123" s="3030"/>
      <c r="C123" s="3030"/>
      <c r="D123" s="3130" t="str">
        <f ca="1">NUMBERSTRING(INT(D122*10000),2)&amp;"元整"</f>
        <v>壹拾柒亿伍仟玖佰壹拾伍万元整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2319</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2319</v>
      </c>
      <c r="B127" s="3030"/>
      <c r="C127" s="3030"/>
      <c r="D127" s="3130" t="e">
        <f>NUMBERSTRING(INT(D126*10000),2)&amp;"元整"</f>
        <v>#VALUE!</v>
      </c>
      <c r="E127" s="3131"/>
      <c r="F127" s="3131"/>
      <c r="G127" s="3131"/>
      <c r="H127" s="3131"/>
      <c r="I127" s="3132"/>
    </row>
    <row r="128" spans="1:11" ht="21.75" customHeight="1">
      <c r="A128" s="3140" t="s">
        <v>2320</v>
      </c>
      <c r="B128" s="3140"/>
      <c r="C128" s="3140"/>
      <c r="D128" s="3140"/>
      <c r="E128" s="3140"/>
      <c r="F128" s="3140"/>
      <c r="G128" s="3140"/>
      <c r="H128" s="3140"/>
      <c r="I128" s="3140"/>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6"/>
      <c r="C1" s="2555" t="s">
        <v>2430</v>
      </c>
      <c r="D1" s="242"/>
      <c r="E1" s="242"/>
      <c r="F1" s="242"/>
      <c r="G1" s="1378">
        <f>MATCH(B1,'数据-取费表'!A6:A16,0)+5</f>
        <v>12</v>
      </c>
      <c r="H1" s="1281" t="str">
        <f>IF(ISERROR(FIND("住宅",B1)),"非住宅","住宅")</f>
        <v>非住宅</v>
      </c>
    </row>
    <row r="2" spans="1:8" s="244" customFormat="1" ht="18" customHeight="1">
      <c r="A2" s="245" t="s">
        <v>2329</v>
      </c>
      <c r="B2" s="246">
        <f ca="1">ROUND(IF(D2="——",C52/10000,C52/10000-E2),0)</f>
        <v>81844</v>
      </c>
      <c r="C2" s="243" t="s">
        <v>2330</v>
      </c>
      <c r="D2" s="2549" t="s">
        <v>70</v>
      </c>
      <c r="E2" s="1439"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5807</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28186562</v>
      </c>
      <c r="D5" s="255" t="s">
        <v>2336</v>
      </c>
      <c r="E5" s="256" t="s">
        <v>2337</v>
      </c>
      <c r="F5" s="256" t="s">
        <v>2338</v>
      </c>
      <c r="G5" s="257"/>
    </row>
    <row r="6" spans="1:8" s="258" customFormat="1" ht="13.5" customHeight="1">
      <c r="A6" s="948" t="s">
        <v>2339</v>
      </c>
      <c r="B6" s="259" t="s">
        <v>2340</v>
      </c>
      <c r="C6" s="260"/>
      <c r="D6" s="261"/>
      <c r="E6" s="262"/>
      <c r="F6" s="262"/>
      <c r="G6" s="263"/>
    </row>
    <row r="7" spans="1:8" s="258" customFormat="1" ht="13.5" customHeight="1">
      <c r="A7" s="948" t="s">
        <v>2341</v>
      </c>
      <c r="B7" s="259" t="s">
        <v>2342</v>
      </c>
      <c r="C7" s="264">
        <f>ROUND(C6*F7,0)</f>
        <v>0</v>
      </c>
      <c r="D7" s="264"/>
      <c r="E7" s="262"/>
      <c r="F7" s="265">
        <f>'数据-取费表'!B48+'数据-取费表'!B49</f>
        <v>3.0499999999999999E-2</v>
      </c>
      <c r="G7" s="263"/>
    </row>
    <row r="8" spans="1:8" s="267" customFormat="1">
      <c r="A8" s="948" t="s">
        <v>2343</v>
      </c>
      <c r="B8" s="259" t="s">
        <v>2344</v>
      </c>
      <c r="C8" s="264">
        <f ca="1">IF(G8="已包含在土地购买价格中",0,C9+C10)</f>
        <v>28186562</v>
      </c>
      <c r="D8" s="266"/>
      <c r="E8" s="264"/>
      <c r="F8" s="265"/>
      <c r="G8" s="2552"/>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2347</v>
      </c>
      <c r="C10" s="269">
        <f ca="1">ROUND(D10*E10,0)</f>
        <v>28186562</v>
      </c>
      <c r="D10" s="1031">
        <f ca="1">IF(B1="",'数据-汇总表'!E6,IF(INDIRECT("'数据-取费表'!c"&amp;$G$1)="住宅",INDIRECT("'数据-取费表'!s"&amp;$G$1),INDIRECT("'数据-取费表'!k"&amp;$G$1)+INDIRECT("'数据-取费表'!s"&amp;$G$1)))</f>
        <v>140932.81</v>
      </c>
      <c r="E10" s="269">
        <f>'数据-取费表'!B28</f>
        <v>200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14093281</v>
      </c>
      <c r="D19" s="1035">
        <f ca="1">D9+D10</f>
        <v>140932.81</v>
      </c>
      <c r="E19" s="255">
        <f>'数据-取费表'!B31</f>
        <v>100</v>
      </c>
      <c r="F19" s="275"/>
      <c r="G19" s="2552"/>
    </row>
    <row r="20" spans="1:7" s="258" customFormat="1" ht="13.5" customHeight="1">
      <c r="A20" s="299" t="s">
        <v>2441</v>
      </c>
      <c r="B20" s="254" t="s">
        <v>2442</v>
      </c>
      <c r="C20" s="276">
        <f ca="1">ROUND((C5+C19)*F20,0)</f>
        <v>845597</v>
      </c>
      <c r="D20" s="276"/>
      <c r="E20" s="276"/>
      <c r="F20" s="277">
        <f>'数据-取费表'!B37</f>
        <v>0.02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79">
        <f ca="1">ROUND(SUM(C23:C25),0)</f>
        <v>5251505</v>
      </c>
      <c r="D22" s="279">
        <f ca="1">C26</f>
        <v>8.9999999999999998E-4</v>
      </c>
      <c r="E22" s="280" t="s">
        <v>2446</v>
      </c>
      <c r="F22" s="281">
        <f ca="1">'数据-取费表'!B40</f>
        <v>4.7500000000000001E-2</v>
      </c>
      <c r="G22" s="278" t="str">
        <f>IF('数据-取费表'!B22&lt;=1,"单利计息","复利计息")</f>
        <v>复利计息</v>
      </c>
    </row>
    <row r="23" spans="1:7" s="258" customFormat="1" ht="13.5" customHeight="1">
      <c r="A23" s="950" t="s">
        <v>2339</v>
      </c>
      <c r="B23" s="259" t="s">
        <v>2450</v>
      </c>
      <c r="C23" s="1380">
        <f ca="1">ROUND(IF('数据-取费表'!B22&lt;=1,C5*F22*'数据-取费表'!B22,C5*(POWER((1+F22),'数据-取费表'!B22)-1)),0)</f>
        <v>3467335</v>
      </c>
      <c r="D23" s="282"/>
      <c r="E23" s="282"/>
      <c r="F23" s="283"/>
      <c r="G23" s="284" t="s">
        <v>2451</v>
      </c>
    </row>
    <row r="24" spans="1:7" s="258" customFormat="1" ht="13.5" customHeight="1">
      <c r="A24" s="950" t="s">
        <v>2341</v>
      </c>
      <c r="B24" s="259" t="s">
        <v>2452</v>
      </c>
      <c r="C24" s="1380">
        <f ca="1">ROUND(IF('数据-取费表'!B22&lt;=1,C19*F22*('数据-取费表'!B19/2+'数据-取费表'!B20),C19*(POWER((1+F22),('数据-取费表'!B19/2+'数据-取费表'!B20))-1)),0)</f>
        <v>1733668</v>
      </c>
      <c r="D24" s="282"/>
      <c r="E24" s="282"/>
      <c r="F24" s="283"/>
      <c r="G24" s="284" t="s">
        <v>2453</v>
      </c>
    </row>
    <row r="25" spans="1:7" s="258" customFormat="1" ht="24">
      <c r="A25" s="950" t="s">
        <v>2343</v>
      </c>
      <c r="B25" s="259" t="s">
        <v>2454</v>
      </c>
      <c r="C25" s="1380">
        <f ca="1">ROUND(IF('数据-取费表'!B22&lt;=1,C20*F22*'数据-取费表'!B22/2,C20*(POWER((1+F22),'数据-取费表'!B22/2)-1)),0)</f>
        <v>50502</v>
      </c>
      <c r="D25" s="282"/>
      <c r="E25" s="285"/>
      <c r="F25" s="283"/>
      <c r="G25" s="286" t="s">
        <v>2455</v>
      </c>
    </row>
    <row r="26" spans="1:7" s="258" customFormat="1">
      <c r="A26" s="950" t="s">
        <v>795</v>
      </c>
      <c r="B26" s="259" t="s">
        <v>2378</v>
      </c>
      <c r="C26" s="282">
        <f ca="1">ROUND(IF('数据-取费表'!B22&lt;=1,F21*F22*'数据-取费表'!B22/2,F21*(POWER((1+F22),'数据-取费表'!B22/2)-1)),4)</f>
        <v>8.9999999999999998E-4</v>
      </c>
      <c r="D26" s="282"/>
      <c r="E26" s="285"/>
      <c r="F26" s="283"/>
      <c r="G26" s="287"/>
    </row>
    <row r="27" spans="1:7" s="258" customFormat="1" ht="24.75">
      <c r="A27" s="299" t="s">
        <v>2379</v>
      </c>
      <c r="B27" s="288" t="s">
        <v>2380</v>
      </c>
      <c r="C27" s="289">
        <f ca="1">C28</f>
        <v>7331325</v>
      </c>
      <c r="D27" s="279">
        <f ca="1">C29</f>
        <v>2.5999999999999999E-3</v>
      </c>
      <c r="E27" s="280" t="s">
        <v>2381</v>
      </c>
      <c r="F27" s="290">
        <f ca="1">IF(B1="",'数据-取费表'!Q16,INDIRECT("'数据-取费表'!q"&amp;$G$1))</f>
        <v>0.17</v>
      </c>
      <c r="G27" s="291" t="s">
        <v>2382</v>
      </c>
    </row>
    <row r="28" spans="1:7" s="258" customFormat="1" ht="13.5" customHeight="1">
      <c r="A28" s="950" t="s">
        <v>791</v>
      </c>
      <c r="B28" s="292" t="s">
        <v>2383</v>
      </c>
      <c r="C28" s="293">
        <f ca="1">ROUND((C5+C19+C20)*F27,0)</f>
        <v>7331325</v>
      </c>
      <c r="D28" s="279"/>
      <c r="E28" s="280"/>
      <c r="F28" s="290"/>
      <c r="G28" s="291"/>
    </row>
    <row r="29" spans="1:7" s="258" customFormat="1" ht="13.5" customHeight="1">
      <c r="A29" s="950"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60017529</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561233564</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510092825</v>
      </c>
      <c r="D34" s="261"/>
      <c r="E34" s="264"/>
      <c r="F34" s="301"/>
      <c r="G34" s="263"/>
    </row>
    <row r="35" spans="1:7" ht="13.5" customHeight="1">
      <c r="A35" s="950" t="s">
        <v>796</v>
      </c>
      <c r="B35" s="259" t="s">
        <v>2394</v>
      </c>
      <c r="C35" s="264">
        <f ca="1">ROUND(C34*F35,0)</f>
        <v>15302785</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28186562</v>
      </c>
      <c r="D37" s="261">
        <f ca="1">D19</f>
        <v>140932.81</v>
      </c>
      <c r="E37" s="293">
        <f>'数据-取费表'!B35</f>
        <v>200</v>
      </c>
      <c r="F37" s="303"/>
      <c r="G37" s="305"/>
    </row>
    <row r="38" spans="1:7" ht="13.5" customHeight="1">
      <c r="A38" s="950" t="s">
        <v>799</v>
      </c>
      <c r="B38" s="259" t="s">
        <v>2400</v>
      </c>
      <c r="C38" s="264">
        <f ca="1">ROUND(C34*F38,0)</f>
        <v>7651392</v>
      </c>
      <c r="D38" s="264"/>
      <c r="E38" s="264"/>
      <c r="F38" s="303">
        <f>'数据-取费表'!B36</f>
        <v>1.4999999999999999E-2</v>
      </c>
      <c r="G38" s="263" t="s">
        <v>2395</v>
      </c>
    </row>
    <row r="39" spans="1:7" s="258" customFormat="1" ht="13.5" customHeight="1">
      <c r="A39" s="299" t="s">
        <v>2401</v>
      </c>
      <c r="B39" s="254" t="s">
        <v>2402</v>
      </c>
      <c r="C39" s="276">
        <f ca="1">ROUND(C33*F20,0)</f>
        <v>11224671</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34189174</v>
      </c>
      <c r="D41" s="279">
        <f ca="1">C44</f>
        <v>8.9999999999999998E-4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ROUND(IF('数据-取费表'!B22&lt;=1,C33*F22*'数据-取费表'!B20/2,C33*(POWER((1+F22),'数据-取费表'!B20/2)-1)),0)</f>
        <v>33518798</v>
      </c>
      <c r="D42" s="282"/>
      <c r="E42" s="282"/>
      <c r="F42" s="283"/>
      <c r="G42" s="3172" t="s">
        <v>2458</v>
      </c>
    </row>
    <row r="43" spans="1:7" ht="13.5" customHeight="1">
      <c r="A43" s="950" t="s">
        <v>792</v>
      </c>
      <c r="B43" s="259" t="s">
        <v>2412</v>
      </c>
      <c r="C43" s="282">
        <f ca="1">ROUND(IF('数据-取费表'!B22&lt;=1,C39*F22*'数据-取费表'!B20/2,C39*(POWER((1+F22),'数据-取费表'!B20/2)-1)),0)</f>
        <v>670376</v>
      </c>
      <c r="D43" s="282"/>
      <c r="E43" s="282"/>
      <c r="F43" s="283"/>
      <c r="G43" s="3173"/>
    </row>
    <row r="44" spans="1:7" ht="13.5" customHeight="1">
      <c r="A44" s="950" t="s">
        <v>793</v>
      </c>
      <c r="B44" s="259" t="s">
        <v>2413</v>
      </c>
      <c r="C44" s="282">
        <f ca="1">ROUND(IF('数据-取费表'!B22&lt;=1,C40*F22*'数据-取费表'!B20/2,C40*(POWER((1+F22),'数据-取费表'!B20/2)-1)),4)</f>
        <v>8.9999999999999998E-4</v>
      </c>
      <c r="D44" s="282"/>
      <c r="E44" s="282"/>
      <c r="F44" s="283"/>
      <c r="G44" s="3174"/>
    </row>
    <row r="45" spans="1:7" s="258" customFormat="1" ht="13.5" customHeight="1">
      <c r="A45" s="299" t="s">
        <v>2414</v>
      </c>
      <c r="B45" s="288" t="s">
        <v>2380</v>
      </c>
      <c r="C45" s="289">
        <f ca="1">C46</f>
        <v>97317900</v>
      </c>
      <c r="D45" s="279">
        <f ca="1">C47</f>
        <v>2.5999999999999999E-3</v>
      </c>
      <c r="E45" s="280" t="s">
        <v>2406</v>
      </c>
      <c r="F45" s="290"/>
      <c r="G45" s="291" t="s">
        <v>2415</v>
      </c>
    </row>
    <row r="46" spans="1:7" s="258" customFormat="1" ht="13.5" customHeight="1">
      <c r="A46" s="950" t="s">
        <v>791</v>
      </c>
      <c r="B46" s="292" t="s">
        <v>2416</v>
      </c>
      <c r="C46" s="293">
        <f ca="1">ROUND((C33+C39)*F27,0)</f>
        <v>97317900</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758419855</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758419855</v>
      </c>
      <c r="D51" s="276"/>
      <c r="E51" s="276"/>
      <c r="F51" s="308"/>
      <c r="G51" s="278" t="s">
        <v>2427</v>
      </c>
    </row>
    <row r="52" spans="1:7" s="252" customFormat="1" ht="16.5" thickBot="1">
      <c r="A52" s="309" t="s">
        <v>2428</v>
      </c>
      <c r="B52" s="310"/>
      <c r="C52" s="311">
        <f ca="1">C31+C51</f>
        <v>818437384</v>
      </c>
      <c r="D52" s="310"/>
      <c r="E52" s="310"/>
      <c r="F52" s="310"/>
      <c r="G52" s="312"/>
    </row>
    <row r="55" spans="1:7" ht="15">
      <c r="B55" s="314" t="s">
        <v>2429</v>
      </c>
      <c r="C55" s="315"/>
    </row>
    <row r="56" spans="1:7">
      <c r="B56" s="317" t="s">
        <v>1509</v>
      </c>
      <c r="C56" s="319">
        <f ca="1">1-C57</f>
        <v>7.2999999999999954E-2</v>
      </c>
    </row>
    <row r="57" spans="1:7">
      <c r="B57" s="317" t="s">
        <v>1510</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北京市出让国有建设用地使用权及在建建筑物房地产抵押价值预评估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H6"/>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2461</v>
      </c>
      <c r="B1" s="1580"/>
      <c r="C1" s="1581"/>
      <c r="D1" s="1579"/>
      <c r="E1" s="320"/>
      <c r="F1" s="320"/>
      <c r="G1" s="1580"/>
      <c r="H1" s="320"/>
      <c r="I1" s="320"/>
      <c r="J1" s="320"/>
      <c r="K1" s="320">
        <f>MATCH(C1,'数据-取费表'!A6:A16,0)+5</f>
        <v>12</v>
      </c>
    </row>
    <row r="2" spans="1:33" ht="18" customHeight="1">
      <c r="A2" s="245" t="s">
        <v>2329</v>
      </c>
      <c r="B2" s="248">
        <f ca="1">C32</f>
        <v>161338</v>
      </c>
      <c r="C2" s="320" t="s">
        <v>2462</v>
      </c>
      <c r="D2" s="320"/>
      <c r="E2" s="320"/>
      <c r="F2" s="320"/>
      <c r="G2" s="320"/>
      <c r="H2" s="320"/>
      <c r="I2" s="320"/>
      <c r="J2" s="320"/>
      <c r="K2" s="320"/>
    </row>
    <row r="3" spans="1:33" ht="18" customHeight="1" thickBot="1">
      <c r="A3" s="247" t="s">
        <v>2331</v>
      </c>
      <c r="B3" s="248">
        <f ca="1">ROUND(B2*10000/IF(C1="",'数据-汇总表'!E3,INDIRECT("'数据-取费表'!K"&amp;$K$1)),0)</f>
        <v>11448</v>
      </c>
      <c r="C3" s="320" t="s">
        <v>2463</v>
      </c>
      <c r="D3" s="320"/>
      <c r="E3" s="320"/>
      <c r="F3" s="320"/>
      <c r="G3" s="320"/>
      <c r="H3" s="320"/>
      <c r="I3" s="320"/>
      <c r="J3" s="320"/>
      <c r="K3" s="320"/>
    </row>
    <row r="4" spans="1:33" s="955" customFormat="1" ht="16.5" customHeight="1">
      <c r="A4" s="952" t="s">
        <v>2464</v>
      </c>
      <c r="B4" s="953"/>
      <c r="C4" s="995">
        <f ca="1">SUM(C8:K8)</f>
        <v>274849.84225499997</v>
      </c>
      <c r="D4" s="953"/>
      <c r="E4" s="953"/>
      <c r="F4" s="953"/>
      <c r="G4" s="953"/>
      <c r="H4" s="953"/>
      <c r="I4" s="953"/>
      <c r="J4" s="953"/>
      <c r="K4" s="954"/>
    </row>
    <row r="5" spans="1:33" s="959" customFormat="1" ht="15">
      <c r="A5" s="956" t="s">
        <v>2465</v>
      </c>
      <c r="B5" s="957" t="s">
        <v>2466</v>
      </c>
      <c r="C5" s="2556" t="s">
        <v>27</v>
      </c>
      <c r="D5" s="2556" t="s">
        <v>3072</v>
      </c>
      <c r="E5" s="2556" t="s">
        <v>3100</v>
      </c>
      <c r="F5" s="2556" t="s">
        <v>3101</v>
      </c>
      <c r="G5" s="2556" t="s">
        <v>3102</v>
      </c>
      <c r="H5" s="2556" t="s">
        <v>3117</v>
      </c>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2467</v>
      </c>
      <c r="C6" s="961">
        <f ca="1">收益法!B3</f>
        <v>26284</v>
      </c>
      <c r="D6" s="961">
        <f ca="1">收益法公寓!B3</f>
        <v>28393</v>
      </c>
      <c r="E6" s="961">
        <f ca="1">收益法地上商业!B3</f>
        <v>18488</v>
      </c>
      <c r="F6" s="961">
        <f ca="1">收益法地下商业!B3</f>
        <v>13347</v>
      </c>
      <c r="G6" s="961">
        <f ca="1">收益法车库!B3</f>
        <v>810</v>
      </c>
      <c r="H6" s="961">
        <f ca="1">收益法库房!B3</f>
        <v>3510</v>
      </c>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40" t="s">
        <v>2469</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1301.8900000000001</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2470</v>
      </c>
      <c r="B8" s="177" t="s">
        <v>2471</v>
      </c>
      <c r="C8" s="996">
        <f ca="1">C6*C7/10000</f>
        <v>141450.68406799997</v>
      </c>
      <c r="D8" s="996">
        <f ca="1">D6*D7/10000</f>
        <v>47779.712007000002</v>
      </c>
      <c r="E8" s="996">
        <f ca="1">E6*E7/10000</f>
        <v>72276.506512000007</v>
      </c>
      <c r="F8" s="997">
        <f ca="1">F6*F7/10000</f>
        <v>12625.114158</v>
      </c>
      <c r="G8" s="997">
        <f ca="1">G7*G6/10000</f>
        <v>260.86212</v>
      </c>
      <c r="H8" s="997">
        <f ca="1">H6*H7/10000</f>
        <v>456.96339000000006</v>
      </c>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3">
        <f ca="1">IF(C1="",'数据-取费表'!P16,INDIRECT("'数据-取费表'!p"&amp;$K$1)+INDIRECT("'数据-取费表'!ar"&amp;$K$1))</f>
        <v>35707</v>
      </c>
      <c r="D11" s="972"/>
      <c r="E11" s="375"/>
      <c r="F11" s="973">
        <f ca="1">1-IF('数据-取费表'!B24=0,1,IF(C1="",'数据-取费表'!N16,INDIRECT("'数据-取费表'!n"&amp;$K$1)))</f>
        <v>0.7</v>
      </c>
      <c r="G11" s="8"/>
      <c r="H11" s="967"/>
      <c r="I11" s="967"/>
      <c r="J11" s="967"/>
      <c r="K11" s="968"/>
    </row>
    <row r="12" spans="1:33" s="974" customFormat="1" ht="13.5" customHeight="1">
      <c r="A12" s="970" t="s">
        <v>1331</v>
      </c>
      <c r="B12" s="971" t="s">
        <v>2480</v>
      </c>
      <c r="C12" s="24">
        <f ca="1">ROUND(C11*F12,0)</f>
        <v>1071</v>
      </c>
      <c r="D12" s="972"/>
      <c r="E12" s="375"/>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0</v>
      </c>
      <c r="D13" s="1032"/>
      <c r="E13" s="375"/>
      <c r="F13" s="975">
        <f>'数据-取费表'!B34</f>
        <v>0</v>
      </c>
      <c r="G13" s="8" t="s">
        <v>2483</v>
      </c>
      <c r="H13" s="967"/>
      <c r="I13" s="967"/>
      <c r="J13" s="967"/>
      <c r="K13" s="968"/>
    </row>
    <row r="14" spans="1:33" s="976" customFormat="1" ht="13.5" customHeight="1">
      <c r="A14" s="970" t="s">
        <v>1333</v>
      </c>
      <c r="B14" s="971" t="s">
        <v>2484</v>
      </c>
      <c r="C14" s="24">
        <f ca="1">ROUND(D14*E14*F11/10000,0)</f>
        <v>1973</v>
      </c>
      <c r="D14" s="1032">
        <f ca="1">IF(C1="",'数据-汇总表'!E3,INDIRECT("'数据-取费表'!K"&amp;$K$1)+INDIRECT("'数据-取费表'!S"&amp;$K$1))</f>
        <v>140932.81</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536</v>
      </c>
      <c r="D15" s="977"/>
      <c r="E15" s="982"/>
      <c r="F15" s="983">
        <f>'数据-取费表'!B36</f>
        <v>1.4999999999999999E-2</v>
      </c>
      <c r="G15" s="140"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39287</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1409</v>
      </c>
      <c r="D17" s="1032">
        <f ca="1">D14</f>
        <v>140932.81</v>
      </c>
      <c r="E17" s="24">
        <f>'数据-取费表'!B32</f>
        <v>100</v>
      </c>
      <c r="F17" s="977"/>
      <c r="G17" s="140"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24">
        <f ca="1">C19+C20-IF(C1="",'数据-取费表'!B29,IF(G18="已全部缴纳",C19+C20,H18))</f>
        <v>2819</v>
      </c>
      <c r="D18" s="1032"/>
      <c r="E18" s="24"/>
      <c r="F18" s="975"/>
      <c r="G18" s="2558"/>
      <c r="H18" s="1576"/>
      <c r="I18" s="2559"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2494</v>
      </c>
      <c r="C20" s="24">
        <f ca="1">ROUND(D20*E20/10000,0)</f>
        <v>2819</v>
      </c>
      <c r="D20" s="1032">
        <f ca="1">IF(C1="",'数据-汇总表'!E6,IF(INDIRECT("'数据-取费表'!c"&amp;$K$1)="住宅",INDIRECT("'数据-取费表'!s"&amp;$K$1),INDIRECT("'数据-取费表'!k"&amp;$K$1)+INDIRECT("'数据-取费表'!s"&amp;$K$1)))</f>
        <v>140932.81</v>
      </c>
      <c r="E20" s="24">
        <f>'数据-取费表'!B28</f>
        <v>200</v>
      </c>
      <c r="F20" s="975"/>
      <c r="G20" s="15"/>
      <c r="H20" s="980"/>
      <c r="I20" s="980"/>
      <c r="J20" s="980"/>
      <c r="K20" s="981"/>
    </row>
    <row r="21" spans="1:33" s="974" customFormat="1" ht="13.5" customHeight="1">
      <c r="A21" s="960" t="s">
        <v>802</v>
      </c>
      <c r="B21" s="984" t="s">
        <v>2495</v>
      </c>
      <c r="C21" s="985">
        <f ca="1">C16+C17+C18</f>
        <v>43515</v>
      </c>
      <c r="D21" s="986"/>
      <c r="E21" s="325"/>
      <c r="F21" s="325"/>
      <c r="G21" s="140" t="s">
        <v>2496</v>
      </c>
      <c r="H21" s="978"/>
      <c r="I21" s="978"/>
      <c r="J21" s="978"/>
      <c r="K21" s="979"/>
    </row>
    <row r="22" spans="1:33" s="974" customFormat="1" ht="13.5" customHeight="1">
      <c r="A22" s="960" t="s">
        <v>2468</v>
      </c>
      <c r="B22" s="984" t="s">
        <v>2497</v>
      </c>
      <c r="C22" s="985">
        <f ca="1">ROUND(C21*F22,0)</f>
        <v>870</v>
      </c>
      <c r="D22" s="325"/>
      <c r="E22" s="325"/>
      <c r="F22" s="987">
        <f>'数据-取费表'!B37</f>
        <v>0.02</v>
      </c>
      <c r="G22" s="8" t="s">
        <v>2498</v>
      </c>
      <c r="H22" s="967"/>
      <c r="I22" s="967"/>
      <c r="J22" s="967"/>
      <c r="K22" s="968"/>
    </row>
    <row r="23" spans="1:33" s="974" customFormat="1" ht="13.5" customHeight="1">
      <c r="A23" s="960" t="s">
        <v>2470</v>
      </c>
      <c r="B23" s="984" t="s">
        <v>2499</v>
      </c>
      <c r="C23" s="985">
        <f ca="1">ROUND(C4*F23*F11,0)</f>
        <v>2886</v>
      </c>
      <c r="D23" s="325"/>
      <c r="E23" s="325"/>
      <c r="F23" s="987">
        <f>'数据-取费表'!B38</f>
        <v>1.4999999999999999E-2</v>
      </c>
      <c r="G23" s="8" t="s">
        <v>2500</v>
      </c>
      <c r="H23" s="967"/>
      <c r="I23" s="967"/>
      <c r="J23" s="967"/>
      <c r="K23" s="968"/>
    </row>
    <row r="24" spans="1:33" s="974" customFormat="1" ht="13.5" customHeight="1">
      <c r="A24" s="960" t="s">
        <v>2501</v>
      </c>
      <c r="B24" s="984" t="s">
        <v>2502</v>
      </c>
      <c r="C24" s="324">
        <f>ROUND(F24/(1+'数据-取费表'!C42),4)</f>
        <v>2.9000000000000001E-2</v>
      </c>
      <c r="D24" s="325" t="s">
        <v>15</v>
      </c>
      <c r="E24" s="325"/>
      <c r="F24" s="987">
        <f>'数据-取费表'!B48+'数据-取费表'!B49</f>
        <v>3.0499999999999999E-2</v>
      </c>
      <c r="G24" s="8" t="s">
        <v>2503</v>
      </c>
      <c r="H24" s="989"/>
      <c r="I24" s="989"/>
      <c r="J24" s="989"/>
      <c r="K24" s="990"/>
    </row>
    <row r="25" spans="1:33" s="974" customFormat="1" ht="13.5" customHeight="1">
      <c r="A25" s="960" t="s">
        <v>2504</v>
      </c>
      <c r="B25" s="986" t="s">
        <v>2505</v>
      </c>
      <c r="C25" s="1355">
        <f ca="1">C27</f>
        <v>2131</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9.4799999999999995E-2</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2131</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2508</v>
      </c>
      <c r="B28" s="2561" t="s">
        <v>2509</v>
      </c>
      <c r="C28" s="331">
        <f ca="1">C30</f>
        <v>8036</v>
      </c>
      <c r="D28" s="324">
        <f ca="1">C29</f>
        <v>0.13289999999999999</v>
      </c>
      <c r="E28" s="326" t="s">
        <v>15</v>
      </c>
      <c r="F28" s="332">
        <f ca="1">IF(C1="",'数据-取费表'!Q16,INDIRECT("'数据-取费表'!q"&amp;$K$1))</f>
        <v>0.17</v>
      </c>
      <c r="G28" s="988"/>
      <c r="H28" s="989"/>
      <c r="I28" s="989"/>
      <c r="J28" s="989"/>
      <c r="K28" s="990"/>
    </row>
    <row r="29" spans="1:33" s="335" customFormat="1" ht="13.5" customHeight="1">
      <c r="A29" s="970" t="s">
        <v>803</v>
      </c>
      <c r="B29" s="993" t="s">
        <v>2510</v>
      </c>
      <c r="C29" s="328">
        <f ca="1">ROUND((1+C24)*F28*'数据-取费表'!B24/'数据-取费表'!B20,4)</f>
        <v>0.13289999999999999</v>
      </c>
      <c r="D29" s="328"/>
      <c r="E29" s="329"/>
      <c r="F29" s="334"/>
      <c r="G29" s="140" t="s">
        <v>2511</v>
      </c>
      <c r="H29" s="978"/>
      <c r="I29" s="978"/>
      <c r="J29" s="978"/>
      <c r="K29" s="979"/>
    </row>
    <row r="30" spans="1:33" s="335" customFormat="1" ht="13.5" customHeight="1">
      <c r="A30" s="970" t="s">
        <v>804</v>
      </c>
      <c r="B30" s="993" t="s">
        <v>2512</v>
      </c>
      <c r="C30" s="336">
        <f ca="1">ROUND((C21+C22+C23)*F28,0)</f>
        <v>8036</v>
      </c>
      <c r="D30" s="328"/>
      <c r="E30" s="329"/>
      <c r="F30" s="334"/>
      <c r="G30" s="140"/>
      <c r="H30" s="978"/>
      <c r="I30" s="978"/>
      <c r="J30" s="978"/>
      <c r="K30" s="979"/>
    </row>
    <row r="31" spans="1:33" s="974" customFormat="1" ht="13.5" customHeight="1" thickBot="1">
      <c r="A31" s="2562" t="s">
        <v>2513</v>
      </c>
      <c r="B31" s="1004" t="s">
        <v>2514</v>
      </c>
      <c r="C31" s="1005">
        <f ca="1">ROUND(C4*F31/(1+'数据-取费表'!C42),0)</f>
        <v>14659</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161338</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3095</v>
      </c>
      <c r="E1" s="1820" t="s">
        <v>1383</v>
      </c>
      <c r="F1" s="1282">
        <f ca="1">J53</f>
        <v>32.700000000000003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141450</v>
      </c>
      <c r="C2" s="1844" t="s">
        <v>1512</v>
      </c>
      <c r="D2" s="1844"/>
      <c r="E2" s="1845"/>
      <c r="F2" s="1846"/>
      <c r="G2" s="1847"/>
      <c r="H2" s="1839"/>
      <c r="I2" s="1839"/>
      <c r="J2" s="1839"/>
      <c r="K2" s="1840"/>
      <c r="L2" s="1839"/>
      <c r="M2" s="1839"/>
    </row>
    <row r="3" spans="1:37" ht="18" customHeight="1" thickBot="1">
      <c r="A3" s="1848" t="s">
        <v>1513</v>
      </c>
      <c r="B3" s="1849">
        <f ca="1">IF(ISERROR(B2*10000/F43),0,ROUND(B2*10000/F43,0))</f>
        <v>26284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9183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9183</v>
      </c>
      <c r="D6" s="164" t="s">
        <v>3030</v>
      </c>
      <c r="E6" s="347" t="s">
        <v>1401</v>
      </c>
      <c r="F6" s="348">
        <f ca="1">INDIRECT("'数据-取费表'!u"&amp;$G$1)</f>
        <v>5.5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53816.27</v>
      </c>
      <c r="G7" s="1850"/>
      <c r="H7" s="349"/>
      <c r="I7" s="3178"/>
      <c r="J7" s="351"/>
      <c r="K7" s="352"/>
      <c r="L7" s="347" t="s">
        <v>1402</v>
      </c>
      <c r="M7" s="348">
        <f ca="1">F7</f>
        <v>53816.27</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31427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21457</v>
      </c>
      <c r="D14" s="1799" t="s">
        <v>1414</v>
      </c>
      <c r="E14" s="1793"/>
      <c r="F14" s="364"/>
      <c r="G14" s="1850"/>
      <c r="H14" s="1200" t="s">
        <v>1032</v>
      </c>
      <c r="I14" s="347" t="s">
        <v>1415</v>
      </c>
      <c r="J14" s="24">
        <f ca="1">C29</f>
        <v>31427</v>
      </c>
      <c r="K14" s="15"/>
      <c r="L14" s="978"/>
      <c r="M14" s="979"/>
    </row>
    <row r="15" spans="1:37" s="1857" customFormat="1" ht="18" customHeight="1" thickBot="1">
      <c r="A15" s="1200" t="s">
        <v>1033</v>
      </c>
      <c r="B15" s="347" t="s">
        <v>1416</v>
      </c>
      <c r="C15" s="24">
        <f ca="1">ROUND(C14*F15,0)</f>
        <v>644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747</v>
      </c>
      <c r="K16" s="1336" t="s">
        <v>1421</v>
      </c>
      <c r="L16" s="1337"/>
      <c r="M16" s="1293"/>
    </row>
    <row r="17" spans="1:37" s="1857" customFormat="1" ht="18" customHeight="1">
      <c r="A17" s="1200" t="s">
        <v>1386</v>
      </c>
      <c r="B17" s="347" t="s">
        <v>1422</v>
      </c>
      <c r="C17" s="24">
        <f ca="1">ROUND(F17*(F43+INDIRECT("'数据-取费表'!S"&amp;$G$1))/10000,0)</f>
        <v>1226</v>
      </c>
      <c r="D17" s="347" t="s">
        <v>1423</v>
      </c>
      <c r="E17" s="347" t="s">
        <v>1424</v>
      </c>
      <c r="F17" s="26">
        <f>'数据-取费表'!B35</f>
        <v>200</v>
      </c>
      <c r="G17" s="1853"/>
      <c r="H17" s="1200" t="s">
        <v>1032</v>
      </c>
      <c r="I17" s="347" t="s">
        <v>1425</v>
      </c>
      <c r="J17" s="24">
        <f ca="1">ROUND(IF(项目基本情况!B11="自然人",J5*M17,J18+J19+J20),1)</f>
        <v>275.60000000000002</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322</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23649</v>
      </c>
      <c r="D19" s="140" t="s">
        <v>1432</v>
      </c>
      <c r="E19" s="1817"/>
      <c r="F19" s="26"/>
      <c r="G19" s="1850"/>
      <c r="H19" s="1200" t="s">
        <v>1033</v>
      </c>
      <c r="I19" s="347" t="s">
        <v>1433</v>
      </c>
      <c r="J19" s="24">
        <f ca="1">IF(K19="按租金收入计税",ROUND(J5*M19,2),ROUND(C29*M19*0.7,2))</f>
        <v>263.99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473</v>
      </c>
      <c r="D20" s="369" t="s">
        <v>1436</v>
      </c>
      <c r="E20" s="347" t="s">
        <v>1418</v>
      </c>
      <c r="F20" s="367">
        <f>'数据-取费表'!B37</f>
        <v>0.02</v>
      </c>
      <c r="G20" s="1853"/>
      <c r="H20" s="1200" t="s">
        <v>1385</v>
      </c>
      <c r="I20" s="164" t="s">
        <v>1437</v>
      </c>
      <c r="J20" s="25">
        <f ca="1">ROUND(M20*M21/10000,2)</f>
        <v>11.57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9641.7900000000009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471.4</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1440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-747</v>
      </c>
      <c r="K25" s="1344" t="s">
        <v>1460</v>
      </c>
      <c r="L25" s="1345"/>
      <c r="M25" s="1346"/>
    </row>
    <row r="26" spans="1:37">
      <c r="A26" s="1200" t="s">
        <v>1031</v>
      </c>
      <c r="B26" s="347" t="s">
        <v>1461</v>
      </c>
      <c r="C26" s="24">
        <f ca="1">ROUND((C19+C20)*F26,0)</f>
        <v>3618</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31427</v>
      </c>
      <c r="D29" s="1341"/>
      <c r="E29" s="1339"/>
      <c r="F29" s="1342"/>
      <c r="G29" s="1853"/>
      <c r="H29" s="380" t="s">
        <v>1030</v>
      </c>
      <c r="I29" s="381" t="s">
        <v>1475</v>
      </c>
      <c r="J29" s="382">
        <f ca="1">ROUND(J26/(1+F40)^F41,0)</f>
        <v>0</v>
      </c>
      <c r="K29" s="383" t="s">
        <v>1476</v>
      </c>
      <c r="L29" s="384"/>
      <c r="M29" s="385">
        <f ca="1">INDIRECT("'数据-取费表'!k"&amp;$G$1)</f>
        <v>53816.27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2214</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1603.3</v>
      </c>
      <c r="D31" s="1799" t="s">
        <v>1426</v>
      </c>
      <c r="E31" s="1797"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489.76</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1101.96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11.57</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9641.7900000000009</v>
      </c>
      <c r="G35" s="1850"/>
      <c r="H35" s="745"/>
      <c r="I35" s="1859"/>
      <c r="J35" s="1860"/>
      <c r="K35" s="1861"/>
      <c r="L35" s="1858"/>
      <c r="M35" s="1858"/>
    </row>
    <row r="36" spans="1:18" ht="18" customHeight="1">
      <c r="A36" s="1351" t="s">
        <v>1036</v>
      </c>
      <c r="B36" s="347" t="s">
        <v>1445</v>
      </c>
      <c r="C36" s="24">
        <f ca="1">ROUND(C29*F36,1)</f>
        <v>471.4</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47.1</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91.8</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6969</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141450</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26284</v>
      </c>
      <c r="D43" s="383" t="s">
        <v>1484</v>
      </c>
      <c r="E43" s="384" t="s">
        <v>1485</v>
      </c>
      <c r="F43" s="385">
        <f ca="1">INDIRECT("'数据-取费表'!k"&amp;$G$1)</f>
        <v>53816.27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-186424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141450</v>
      </c>
      <c r="R47" s="1885" t="s">
        <v>1525</v>
      </c>
    </row>
    <row r="48" spans="1:18" s="1841" customFormat="1" ht="28.5" thickBot="1">
      <c r="A48" s="1359" t="s">
        <v>1132</v>
      </c>
      <c r="B48" s="345" t="s">
        <v>1397</v>
      </c>
      <c r="C48" s="181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31427</v>
      </c>
      <c r="R49" s="1885" t="s">
        <v>1525</v>
      </c>
    </row>
    <row r="50" spans="1:18" s="1841" customFormat="1" ht="13.5" thickBot="1">
      <c r="A50" s="1194"/>
      <c r="B50" s="1197"/>
      <c r="C50" s="1367"/>
      <c r="D50" s="1171"/>
      <c r="E50" s="1276" t="s">
        <v>1402</v>
      </c>
      <c r="F50" s="1277">
        <f ca="1">F7</f>
        <v>53816.27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66688</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141450</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31427</v>
      </c>
      <c r="D56" s="1913"/>
      <c r="E56" s="1914"/>
      <c r="F56" s="1906"/>
      <c r="I56" s="1915" t="s">
        <v>1550</v>
      </c>
      <c r="J56" s="1916" t="s">
        <v>3070</v>
      </c>
      <c r="K56" s="1886" t="s">
        <v>1551</v>
      </c>
      <c r="L56" s="1889" t="str">
        <f ca="1">IF(L48&lt;J51,"——",L48-J53)</f>
        <v>——</v>
      </c>
      <c r="O56" s="1883" t="s">
        <v>1037</v>
      </c>
      <c r="P56" s="1884" t="s">
        <v>1524</v>
      </c>
      <c r="Q56" s="1885">
        <f ca="1">C40+J29</f>
        <v>141450</v>
      </c>
      <c r="R56" s="1885" t="s">
        <v>1525</v>
      </c>
    </row>
    <row r="57" spans="1:18" s="1841" customFormat="1" ht="24.75" thickBot="1">
      <c r="A57" s="1917"/>
      <c r="B57" s="1168" t="s">
        <v>1474</v>
      </c>
      <c r="C57" s="282">
        <f ca="1">C29</f>
        <v>31427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3170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2651.4</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2639.87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11.57</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141450</v>
      </c>
      <c r="R62" s="1885" t="s">
        <v>1044</v>
      </c>
    </row>
    <row r="63" spans="1:18" s="1841" customFormat="1" ht="13.5" thickBot="1">
      <c r="A63" s="372"/>
      <c r="B63" s="1174"/>
      <c r="C63" s="29"/>
      <c r="D63" s="1184"/>
      <c r="E63" s="1168" t="s">
        <v>1495</v>
      </c>
      <c r="F63" s="348">
        <f t="shared" ca="1" si="0"/>
        <v>9641.7900000000009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471.4</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47.1</v>
      </c>
      <c r="D65" s="1182" t="s">
        <v>1450</v>
      </c>
      <c r="E65" s="1168" t="s">
        <v>1451</v>
      </c>
      <c r="F65" s="376">
        <f t="shared" ca="1" si="0"/>
        <v>1.5E-3</v>
      </c>
      <c r="I65" s="1928" t="s">
        <v>1575</v>
      </c>
      <c r="J65" s="1929">
        <v>40</v>
      </c>
      <c r="K65" s="1929">
        <v>30</v>
      </c>
      <c r="L65" s="1929">
        <v>50</v>
      </c>
      <c r="M65" s="1931">
        <v>0.02</v>
      </c>
      <c r="O65" s="1883" t="s">
        <v>1037</v>
      </c>
      <c r="P65" s="1884" t="s">
        <v>1576</v>
      </c>
      <c r="Q65" s="1885">
        <f ca="1">C40+J29</f>
        <v>141450</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-3170</v>
      </c>
      <c r="D67" s="1181" t="s">
        <v>1460</v>
      </c>
      <c r="E67" s="1186"/>
      <c r="F67" s="1187"/>
      <c r="O67" s="1893" t="s">
        <v>1039</v>
      </c>
      <c r="P67" s="1884" t="s">
        <v>1558</v>
      </c>
      <c r="Q67" s="1932">
        <f ca="1">L51</f>
        <v>66688</v>
      </c>
      <c r="R67" s="1885" t="s">
        <v>1578</v>
      </c>
    </row>
    <row r="68" spans="1:18" s="1841" customFormat="1" ht="16.5" thickBot="1">
      <c r="A68" s="1165" t="s">
        <v>1029</v>
      </c>
      <c r="B68" s="1166" t="s">
        <v>1481</v>
      </c>
      <c r="C68" s="346">
        <f ca="1">ROUND(C67*(1-((1+F70)/(1+F68))^F69)/(F68-F70),0)</f>
        <v>-44974</v>
      </c>
      <c r="D68" s="1183" t="s">
        <v>1465</v>
      </c>
      <c r="E68" s="1168" t="s">
        <v>1466</v>
      </c>
      <c r="F68" s="357">
        <f ca="1">F40</f>
        <v>0.06</v>
      </c>
      <c r="O68" s="1893" t="s">
        <v>1040</v>
      </c>
      <c r="P68" s="1933" t="s">
        <v>1579</v>
      </c>
      <c r="Q68" s="1885">
        <f ca="1">ROUND(Q69-Q70*Q71,0)</f>
        <v>4298</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6969</v>
      </c>
      <c r="R69" s="1885" t="s">
        <v>1525</v>
      </c>
    </row>
    <row r="70" spans="1:18" s="1841" customFormat="1" ht="13.5" thickBot="1">
      <c r="A70" s="1172"/>
      <c r="B70" s="1173"/>
      <c r="C70" s="355"/>
      <c r="D70" s="1184"/>
      <c r="E70" s="1168" t="s">
        <v>1473</v>
      </c>
      <c r="F70" s="1274"/>
      <c r="O70" s="1893" t="s">
        <v>1046</v>
      </c>
      <c r="P70" s="1933" t="s">
        <v>1581</v>
      </c>
      <c r="Q70" s="1885">
        <f ca="1">C13</f>
        <v>31427</v>
      </c>
      <c r="R70" s="1885" t="s">
        <v>1525</v>
      </c>
    </row>
    <row r="71" spans="1:18" s="1841" customFormat="1" ht="13.5" thickBot="1">
      <c r="A71" s="1189" t="s">
        <v>1030</v>
      </c>
      <c r="B71" s="1190" t="s">
        <v>1483</v>
      </c>
      <c r="C71" s="382">
        <f ca="1">ROUND(C68*10000/F71,0)</f>
        <v>-8357</v>
      </c>
      <c r="D71" s="1191" t="s">
        <v>1484</v>
      </c>
      <c r="E71" s="1192" t="s">
        <v>1485</v>
      </c>
      <c r="F71" s="385">
        <f ca="1">F43</f>
        <v>53816.27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2671</v>
      </c>
      <c r="D75" s="1841"/>
      <c r="E75" s="1841"/>
      <c r="F75" s="1841"/>
      <c r="K75" s="1867"/>
      <c r="L75" s="1841"/>
      <c r="O75" s="1883" t="s">
        <v>1043</v>
      </c>
      <c r="P75" s="1884" t="s">
        <v>1545</v>
      </c>
      <c r="Q75" s="1885">
        <f ca="1">Q65+Q66</f>
        <v>141450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0.61699999999999999</v>
      </c>
    </row>
    <row r="80" spans="1:18">
      <c r="B80" s="386" t="s">
        <v>1507</v>
      </c>
      <c r="C80" s="318">
        <f ca="1">ROUND(C75/C39,3)</f>
        <v>0.38300000000000001</v>
      </c>
    </row>
    <row r="81" spans="2:3">
      <c r="B81" s="314" t="s">
        <v>1508</v>
      </c>
      <c r="C81" s="282"/>
    </row>
    <row r="82" spans="2:3">
      <c r="B82" s="317" t="s">
        <v>1509</v>
      </c>
      <c r="C82" s="319">
        <f ca="1">1-C83</f>
        <v>0.77800000000000002</v>
      </c>
    </row>
    <row r="83" spans="2:3">
      <c r="B83" s="317" t="s">
        <v>1510</v>
      </c>
      <c r="C83" s="318">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77" t="s">
        <v>1399</v>
      </c>
      <c r="C6" s="1295">
        <f ca="1">ROUND(F6*F8*F7*(1-F9),0)</f>
        <v>0</v>
      </c>
      <c r="D6" s="164" t="s">
        <v>3027</v>
      </c>
      <c r="E6" s="347" t="s">
        <v>1401</v>
      </c>
      <c r="F6" s="348">
        <f ca="1">INDIRECT("'数据-取费表'!u"&amp;$G$1)</f>
        <v>0</v>
      </c>
      <c r="G6" s="1850"/>
      <c r="H6" s="1290" t="s">
        <v>1032</v>
      </c>
      <c r="I6" s="3177" t="s">
        <v>1399</v>
      </c>
      <c r="J6" s="346">
        <f ca="1">ROUND(M6*M8*M7*(1-M9),0)</f>
        <v>0</v>
      </c>
      <c r="K6" s="1833" t="s">
        <v>3028</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0</v>
      </c>
      <c r="G7" s="1850"/>
      <c r="H7" s="349"/>
      <c r="I7" s="3178"/>
      <c r="J7" s="351"/>
      <c r="K7" s="352"/>
      <c r="L7" s="347" t="s">
        <v>1402</v>
      </c>
      <c r="M7" s="348">
        <f ca="1">F7</f>
        <v>0</v>
      </c>
    </row>
    <row r="8" spans="1:37" ht="18" customHeight="1">
      <c r="A8" s="349"/>
      <c r="B8" s="3178"/>
      <c r="C8" s="351"/>
      <c r="D8" s="352"/>
      <c r="E8" s="347" t="s">
        <v>1403</v>
      </c>
      <c r="F8" s="348">
        <f ca="1">INDIRECT("'数据-取费表'!ai"&amp;$G$1)</f>
        <v>0</v>
      </c>
      <c r="G8" s="1850"/>
      <c r="H8" s="349"/>
      <c r="I8" s="3178"/>
      <c r="J8" s="351"/>
      <c r="K8" s="352"/>
      <c r="L8" s="347" t="s">
        <v>1403</v>
      </c>
      <c r="M8" s="348">
        <f ca="1">INDIRECT("'数据-取费表'!ai"&amp;$G$1)</f>
        <v>0</v>
      </c>
    </row>
    <row r="9" spans="1:37" ht="18" customHeight="1">
      <c r="A9" s="349"/>
      <c r="B9" s="3179"/>
      <c r="C9" s="351"/>
      <c r="D9" s="352"/>
      <c r="E9" s="347" t="s">
        <v>1404</v>
      </c>
      <c r="F9" s="357">
        <f ca="1">INDIRECT("'数据-取费表'!w"&amp;$G$1)</f>
        <v>0</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75" t="s">
        <v>1544</v>
      </c>
      <c r="L53" s="3176"/>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f ca="1">IF(项目基本情况!B11="企业","",IF(INDIRECT("'数据-取费表'!c"&amp;$G$1)="住宅",5%,IF(F49*F50*F51/12/(1+'数据-取费表'!C42)&gt;20000,12%,7%)))</f>
        <v>7.0000000000000007E-2</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2329</v>
      </c>
      <c r="B2" s="2567">
        <f ca="1">SUMIF(B6:B13,"&lt;&gt;#ref!",B6:B13)</f>
        <v>274850</v>
      </c>
      <c r="C2" s="2568" t="s">
        <v>2518</v>
      </c>
      <c r="D2" s="2569" t="s">
        <v>2519</v>
      </c>
      <c r="E2" s="2570">
        <f>SUM(E6:E13)</f>
        <v>140932.81</v>
      </c>
    </row>
    <row r="3" spans="1:6" ht="15.75">
      <c r="A3" s="2566" t="s">
        <v>1391</v>
      </c>
      <c r="B3" s="2567">
        <f ca="1">ROUND(B2*10000/E2,0)</f>
        <v>19502</v>
      </c>
      <c r="C3" s="2568" t="s">
        <v>2526</v>
      </c>
      <c r="D3" s="2571"/>
      <c r="E3" s="2572"/>
    </row>
    <row r="4" spans="1:6" ht="15.75">
      <c r="A4" s="2573"/>
      <c r="B4" s="2571"/>
      <c r="C4" s="2571"/>
      <c r="D4" s="2571"/>
      <c r="E4" s="2572"/>
    </row>
    <row r="5" spans="1:6" ht="15">
      <c r="A5" s="2574" t="s">
        <v>2520</v>
      </c>
      <c r="B5" s="3180" t="s">
        <v>2521</v>
      </c>
      <c r="C5" s="3180"/>
      <c r="D5" s="2575"/>
      <c r="E5" s="2576" t="s">
        <v>2522</v>
      </c>
      <c r="F5" s="2577" t="s">
        <v>2523</v>
      </c>
    </row>
    <row r="6" spans="1:6">
      <c r="A6" s="2578" t="str">
        <f>'数据-取费表'!AN6</f>
        <v>收益法</v>
      </c>
      <c r="B6" s="2577">
        <f ca="1">IF(F6="是",'数据-取费表'!AO6,0)</f>
        <v>141450</v>
      </c>
      <c r="C6" s="2568" t="s">
        <v>2518</v>
      </c>
      <c r="D6" s="2571"/>
      <c r="E6" s="2579">
        <f>IF(OR(A6=0,F6="否"),0,'数据-取费表'!K6+'数据-取费表'!S6)</f>
        <v>61303.799999999996</v>
      </c>
      <c r="F6" s="2580" t="s">
        <v>2524</v>
      </c>
    </row>
    <row r="7" spans="1:6">
      <c r="A7" s="2578" t="str">
        <f>'数据-取费表'!AN7</f>
        <v>收益法公寓</v>
      </c>
      <c r="B7" s="2577">
        <f ca="1">IF(F7="是",'数据-取费表'!AO7,0)</f>
        <v>47779</v>
      </c>
      <c r="C7" s="2568" t="s">
        <v>2518</v>
      </c>
      <c r="D7" s="2571"/>
      <c r="E7" s="2579">
        <f>IF(OR(A7=0,F7="否"),0,'数据-取费表'!K7+'数据-取费表'!S7)</f>
        <v>19169.29</v>
      </c>
      <c r="F7" s="2580" t="s">
        <v>2524</v>
      </c>
    </row>
    <row r="8" spans="1:6">
      <c r="A8" s="2578" t="str">
        <f>'数据-取费表'!AN8</f>
        <v>收益法地上商业</v>
      </c>
      <c r="B8" s="2577">
        <f ca="1">IF(F8="是",'数据-取费表'!AO8,0)</f>
        <v>72278</v>
      </c>
      <c r="C8" s="2568" t="s">
        <v>2518</v>
      </c>
      <c r="D8" s="2571"/>
      <c r="E8" s="2579">
        <f>IF(OR(A8=0,F8="否"),0,'数据-取费表'!K8+'数据-取费表'!S8)</f>
        <v>44532.899999999994</v>
      </c>
      <c r="F8" s="2580" t="s">
        <v>2524</v>
      </c>
    </row>
    <row r="9" spans="1:6">
      <c r="A9" s="2578" t="str">
        <f>'数据-取费表'!AN9</f>
        <v>收益法地下商业</v>
      </c>
      <c r="B9" s="2577">
        <f ca="1">IF(F9="是",'数据-取费表'!AO9,0)</f>
        <v>12625</v>
      </c>
      <c r="C9" s="2568" t="s">
        <v>2518</v>
      </c>
      <c r="D9" s="2571"/>
      <c r="E9" s="2579">
        <f>IF(OR(A9=0,F9="否"),0,'数据-取费表'!K9+'数据-取费表'!S9)</f>
        <v>10775.199999999999</v>
      </c>
      <c r="F9" s="2580" t="s">
        <v>2524</v>
      </c>
    </row>
    <row r="10" spans="1:6">
      <c r="A10" s="2578" t="str">
        <f>'数据-取费表'!AN10</f>
        <v>收益法车库</v>
      </c>
      <c r="B10" s="2577">
        <f ca="1">IF(F10="是",'数据-取费表'!AO10,0)</f>
        <v>261</v>
      </c>
      <c r="C10" s="2568" t="s">
        <v>2518</v>
      </c>
      <c r="D10" s="2571"/>
      <c r="E10" s="2579">
        <f>IF(OR(A10=0,F10="否"),0,'数据-取费表'!K10+'数据-取费表'!S10)</f>
        <v>3668.6</v>
      </c>
      <c r="F10" s="2580" t="s">
        <v>2524</v>
      </c>
    </row>
    <row r="11" spans="1:6">
      <c r="A11" s="2578" t="str">
        <f>'数据-取费表'!AN11</f>
        <v>收益法库房</v>
      </c>
      <c r="B11" s="2577">
        <f ca="1">IF(F11="是",'数据-取费表'!AO11,0)</f>
        <v>457</v>
      </c>
      <c r="C11" s="2568" t="s">
        <v>2518</v>
      </c>
      <c r="D11" s="2571"/>
      <c r="E11" s="2579">
        <f>IF(OR(A11=0,F11="否"),0,'数据-取费表'!K11+'数据-取费表'!S11)</f>
        <v>1483.02</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1073</v>
      </c>
      <c r="B1" s="3198"/>
      <c r="C1" s="3199"/>
      <c r="D1" s="3200">
        <f>SUM(I10,I15,I20,I21,I23)</f>
        <v>0</v>
      </c>
      <c r="E1" s="3200"/>
      <c r="F1" s="3200"/>
      <c r="G1" s="3200"/>
      <c r="H1" s="3200"/>
      <c r="I1" s="3201"/>
    </row>
    <row r="2" spans="1:9">
      <c r="A2" s="3187" t="s">
        <v>1074</v>
      </c>
      <c r="B2" s="3188" t="s">
        <v>1075</v>
      </c>
      <c r="C2" s="3188"/>
      <c r="D2" s="1300" t="s">
        <v>1076</v>
      </c>
      <c r="E2" s="1300" t="s">
        <v>1077</v>
      </c>
      <c r="F2" s="1300" t="s">
        <v>1078</v>
      </c>
      <c r="G2" s="1300" t="s">
        <v>1079</v>
      </c>
      <c r="H2" s="1300" t="s">
        <v>1080</v>
      </c>
      <c r="I2" s="1301" t="s">
        <v>1081</v>
      </c>
    </row>
    <row r="3" spans="1:9">
      <c r="A3" s="3187"/>
      <c r="B3" s="3188" t="s">
        <v>1082</v>
      </c>
      <c r="C3" s="3188"/>
      <c r="D3" s="1302"/>
      <c r="E3" s="1300"/>
      <c r="F3" s="1303"/>
      <c r="G3" s="1303"/>
      <c r="H3" s="1304"/>
      <c r="I3" s="1305">
        <f>ROUND(D3*E3*F3*G3*H3/10000,0)</f>
        <v>0</v>
      </c>
    </row>
    <row r="4" spans="1:9">
      <c r="A4" s="3187"/>
      <c r="B4" s="3188" t="s">
        <v>1083</v>
      </c>
      <c r="C4" s="3188"/>
      <c r="D4" s="1302"/>
      <c r="E4" s="1300"/>
      <c r="F4" s="1303"/>
      <c r="G4" s="1303"/>
      <c r="H4" s="1304"/>
      <c r="I4" s="1305">
        <f t="shared" ref="I4:I9" si="0">ROUND(D4*E4*F4*G4*H4/10000,0)</f>
        <v>0</v>
      </c>
    </row>
    <row r="5" spans="1:9">
      <c r="A5" s="3187"/>
      <c r="B5" s="3188" t="s">
        <v>1084</v>
      </c>
      <c r="C5" s="3188"/>
      <c r="D5" s="1302"/>
      <c r="E5" s="1300"/>
      <c r="F5" s="1303"/>
      <c r="G5" s="1303"/>
      <c r="H5" s="1304"/>
      <c r="I5" s="1305">
        <f t="shared" si="0"/>
        <v>0</v>
      </c>
    </row>
    <row r="6" spans="1:9">
      <c r="A6" s="3187"/>
      <c r="B6" s="3188" t="s">
        <v>1085</v>
      </c>
      <c r="C6" s="3188"/>
      <c r="D6" s="1302"/>
      <c r="E6" s="1300"/>
      <c r="F6" s="1303"/>
      <c r="G6" s="1303"/>
      <c r="H6" s="1304"/>
      <c r="I6" s="1305">
        <f t="shared" si="0"/>
        <v>0</v>
      </c>
    </row>
    <row r="7" spans="1:9">
      <c r="A7" s="3187"/>
      <c r="B7" s="3188" t="s">
        <v>1086</v>
      </c>
      <c r="C7" s="3188"/>
      <c r="D7" s="1302"/>
      <c r="E7" s="1300"/>
      <c r="F7" s="1303"/>
      <c r="G7" s="1303"/>
      <c r="H7" s="1304"/>
      <c r="I7" s="1305">
        <f t="shared" si="0"/>
        <v>0</v>
      </c>
    </row>
    <row r="8" spans="1:9">
      <c r="A8" s="3187"/>
      <c r="B8" s="3188" t="s">
        <v>1087</v>
      </c>
      <c r="C8" s="3188"/>
      <c r="D8" s="1302"/>
      <c r="E8" s="1300"/>
      <c r="F8" s="1303"/>
      <c r="G8" s="1303"/>
      <c r="H8" s="1304"/>
      <c r="I8" s="1305">
        <f t="shared" si="0"/>
        <v>0</v>
      </c>
    </row>
    <row r="9" spans="1:9">
      <c r="A9" s="3187"/>
      <c r="B9" s="3188" t="s">
        <v>1088</v>
      </c>
      <c r="C9" s="3188"/>
      <c r="D9" s="1302"/>
      <c r="E9" s="1300"/>
      <c r="F9" s="1303"/>
      <c r="G9" s="1303"/>
      <c r="H9" s="1304"/>
      <c r="I9" s="1305">
        <f t="shared" si="0"/>
        <v>0</v>
      </c>
    </row>
    <row r="10" spans="1:9">
      <c r="A10" s="3187"/>
      <c r="B10" s="3189" t="s">
        <v>1089</v>
      </c>
      <c r="C10" s="3189"/>
      <c r="D10" s="1306"/>
      <c r="E10" s="1306" t="e">
        <f>ROUND(D1*10000/D10/H9,0)</f>
        <v>#DIV/0!</v>
      </c>
      <c r="F10" s="1307"/>
      <c r="G10" s="1307"/>
      <c r="H10" s="1308"/>
      <c r="I10" s="1309">
        <f>SUM(I3:I9)</f>
        <v>0</v>
      </c>
    </row>
    <row r="11" spans="1:9" ht="14.25">
      <c r="A11" s="3187" t="s">
        <v>1090</v>
      </c>
      <c r="B11" s="3188" t="s">
        <v>1091</v>
      </c>
      <c r="C11" s="3188"/>
      <c r="D11" s="1302" t="s">
        <v>1092</v>
      </c>
      <c r="E11" s="1302" t="s">
        <v>1093</v>
      </c>
      <c r="F11" s="1303" t="s">
        <v>1094</v>
      </c>
      <c r="G11" s="1303" t="s">
        <v>1080</v>
      </c>
      <c r="H11" s="1310" t="s">
        <v>1095</v>
      </c>
      <c r="I11" s="1301" t="s">
        <v>1081</v>
      </c>
    </row>
    <row r="12" spans="1:9">
      <c r="A12" s="3187"/>
      <c r="B12" s="3188" t="s">
        <v>1096</v>
      </c>
      <c r="C12" s="3188"/>
      <c r="D12" s="1302"/>
      <c r="E12" s="1302"/>
      <c r="F12" s="1303"/>
      <c r="G12" s="1304"/>
      <c r="H12" s="1311"/>
      <c r="I12" s="1301">
        <f>ROUND(D12*E12*F12*G12/10000,0)</f>
        <v>0</v>
      </c>
    </row>
    <row r="13" spans="1:9">
      <c r="A13" s="3187"/>
      <c r="B13" s="3188" t="s">
        <v>1097</v>
      </c>
      <c r="C13" s="3188"/>
      <c r="D13" s="1302"/>
      <c r="E13" s="1302"/>
      <c r="F13" s="1303"/>
      <c r="G13" s="1304"/>
      <c r="H13" s="1311"/>
      <c r="I13" s="1301">
        <f>ROUND(D13*E13*F13*G13/10000,0)</f>
        <v>0</v>
      </c>
    </row>
    <row r="14" spans="1:9">
      <c r="A14" s="3187"/>
      <c r="B14" s="3188" t="s">
        <v>1098</v>
      </c>
      <c r="C14" s="3188"/>
      <c r="D14" s="1302"/>
      <c r="E14" s="1302"/>
      <c r="F14" s="1303"/>
      <c r="G14" s="1304"/>
      <c r="H14" s="1311"/>
      <c r="I14" s="1301">
        <f>ROUND(D14*E14*F14*G14/10000,0)</f>
        <v>0</v>
      </c>
    </row>
    <row r="15" spans="1:9">
      <c r="A15" s="3187"/>
      <c r="B15" s="3189" t="s">
        <v>1089</v>
      </c>
      <c r="C15" s="3189"/>
      <c r="D15" s="1306"/>
      <c r="E15" s="1306">
        <f>SUM(E12:E14)</f>
        <v>0</v>
      </c>
      <c r="F15" s="1307"/>
      <c r="G15" s="1304"/>
      <c r="H15" s="1311"/>
      <c r="I15" s="1312">
        <f>SUM(I12:I14)</f>
        <v>0</v>
      </c>
    </row>
    <row r="16" spans="1:9" ht="24">
      <c r="A16" s="3187" t="s">
        <v>1099</v>
      </c>
      <c r="B16" s="3188" t="s">
        <v>1100</v>
      </c>
      <c r="C16" s="3188"/>
      <c r="D16" s="1302" t="s">
        <v>1076</v>
      </c>
      <c r="E16" s="1313" t="s">
        <v>1101</v>
      </c>
      <c r="F16" s="1303" t="s">
        <v>1102</v>
      </c>
      <c r="G16" s="1304" t="s">
        <v>1080</v>
      </c>
      <c r="H16" s="1310" t="s">
        <v>1095</v>
      </c>
      <c r="I16" s="1301" t="s">
        <v>1081</v>
      </c>
    </row>
    <row r="17" spans="1:9" ht="14.25">
      <c r="A17" s="3187"/>
      <c r="B17" s="3188" t="s">
        <v>1103</v>
      </c>
      <c r="C17" s="3188"/>
      <c r="D17" s="1302"/>
      <c r="E17" s="1302"/>
      <c r="F17" s="1303"/>
      <c r="G17" s="1304"/>
      <c r="H17" s="1314"/>
      <c r="I17" s="1315">
        <f>ROUND(D17*E17*F17*G17/10000,0)</f>
        <v>0</v>
      </c>
    </row>
    <row r="18" spans="1:9" ht="14.25">
      <c r="A18" s="3187"/>
      <c r="B18" s="3188" t="s">
        <v>1104</v>
      </c>
      <c r="C18" s="3188"/>
      <c r="D18" s="1302"/>
      <c r="E18" s="1302"/>
      <c r="F18" s="1303"/>
      <c r="G18" s="1304"/>
      <c r="H18" s="1314"/>
      <c r="I18" s="1315">
        <f>ROUND(D18*E18*F18*G18/10000,0)</f>
        <v>0</v>
      </c>
    </row>
    <row r="19" spans="1:9" ht="14.25">
      <c r="A19" s="3187"/>
      <c r="B19" s="3188" t="s">
        <v>1105</v>
      </c>
      <c r="C19" s="3188"/>
      <c r="D19" s="1302"/>
      <c r="E19" s="1302"/>
      <c r="F19" s="1303"/>
      <c r="G19" s="1304"/>
      <c r="H19" s="1314"/>
      <c r="I19" s="1315">
        <f>ROUND(D19*E19*F19*G19/10000,0)</f>
        <v>0</v>
      </c>
    </row>
    <row r="20" spans="1:9">
      <c r="A20" s="3187"/>
      <c r="B20" s="3189" t="s">
        <v>1089</v>
      </c>
      <c r="C20" s="3189"/>
      <c r="D20" s="1306">
        <f>SUM(D17:D19)</f>
        <v>0</v>
      </c>
      <c r="E20" s="1306"/>
      <c r="F20" s="1307"/>
      <c r="G20" s="1304"/>
      <c r="H20" s="1311"/>
      <c r="I20" s="1312">
        <f>SUM(I17:I19)</f>
        <v>0</v>
      </c>
    </row>
    <row r="21" spans="1:9">
      <c r="A21" s="3187" t="s">
        <v>1106</v>
      </c>
      <c r="B21" s="3190"/>
      <c r="C21" s="3190"/>
      <c r="D21" s="3190"/>
      <c r="E21" s="3190"/>
      <c r="F21" s="3190"/>
      <c r="G21" s="3190"/>
      <c r="H21" s="1764">
        <v>0.1</v>
      </c>
      <c r="I21" s="1309">
        <f>ROUND(I10*H21,0)</f>
        <v>0</v>
      </c>
    </row>
    <row r="22" spans="1:9" ht="14.25">
      <c r="A22" s="3191" t="s">
        <v>1107</v>
      </c>
      <c r="B22" s="3192"/>
      <c r="C22" s="3193"/>
      <c r="D22" s="1316" t="s">
        <v>1108</v>
      </c>
      <c r="E22" s="1316" t="s">
        <v>1109</v>
      </c>
      <c r="F22" s="1317" t="s">
        <v>1110</v>
      </c>
      <c r="G22" s="1317" t="s">
        <v>1111</v>
      </c>
      <c r="H22" s="1310" t="s">
        <v>1112</v>
      </c>
      <c r="I22" s="1301" t="s">
        <v>1113</v>
      </c>
    </row>
    <row r="23" spans="1:9" ht="14.25" thickBot="1">
      <c r="A23" s="3194"/>
      <c r="B23" s="3195"/>
      <c r="C23" s="3196"/>
      <c r="D23" s="1318"/>
      <c r="E23" s="1318"/>
      <c r="F23" s="1318"/>
      <c r="G23" s="1319"/>
      <c r="H23" s="1320"/>
      <c r="I23" s="1321">
        <f>ROUND(E23*D23*F23*(1-G23)/10000,0)</f>
        <v>0</v>
      </c>
    </row>
    <row r="26" spans="1:9">
      <c r="A26" s="1322" t="s">
        <v>1114</v>
      </c>
      <c r="B26" s="1322"/>
      <c r="C26" s="1322"/>
      <c r="D26" s="1322"/>
      <c r="E26" s="3184">
        <f>C27-C30-C31-C32</f>
        <v>0</v>
      </c>
      <c r="F26" s="3184"/>
      <c r="G26" s="3184"/>
      <c r="H26" s="1736" t="s">
        <v>1336</v>
      </c>
    </row>
    <row r="27" spans="1:9">
      <c r="A27" s="1323">
        <v>1</v>
      </c>
      <c r="B27" s="1324" t="s">
        <v>1115</v>
      </c>
      <c r="C27" s="1324">
        <f>C28+C29</f>
        <v>0</v>
      </c>
      <c r="D27" s="1324"/>
      <c r="E27" s="3185"/>
      <c r="F27" s="3185"/>
      <c r="G27" s="3185"/>
    </row>
    <row r="28" spans="1:9">
      <c r="A28" s="1325" t="s">
        <v>1116</v>
      </c>
      <c r="B28" s="1324" t="s">
        <v>1117</v>
      </c>
      <c r="C28" s="1324"/>
      <c r="D28" s="1324"/>
      <c r="E28" s="3185"/>
      <c r="F28" s="3185"/>
      <c r="G28" s="3185"/>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6"/>
      <c r="F32" s="3186"/>
      <c r="G32" s="3186"/>
    </row>
    <row r="33" spans="1:7" hidden="1">
      <c r="A33" s="3181" t="s">
        <v>1126</v>
      </c>
      <c r="B33" s="3182"/>
      <c r="C33" s="3182"/>
      <c r="D33" s="3183"/>
      <c r="E33" s="3184"/>
      <c r="F33" s="3184"/>
      <c r="G33" s="3184"/>
    </row>
    <row r="34" spans="1:7" hidden="1">
      <c r="A34" s="1327">
        <v>1</v>
      </c>
      <c r="B34" s="1324" t="s">
        <v>1127</v>
      </c>
      <c r="C34" s="1324"/>
      <c r="D34" s="1324"/>
      <c r="E34" s="3185"/>
      <c r="F34" s="3185"/>
      <c r="G34" s="3185"/>
    </row>
    <row r="35" spans="1:7" hidden="1">
      <c r="A35" s="1327">
        <v>2</v>
      </c>
      <c r="B35" s="1324" t="s">
        <v>1128</v>
      </c>
      <c r="C35" s="1324"/>
      <c r="D35" s="1324"/>
      <c r="E35" s="3185"/>
      <c r="F35" s="3185"/>
      <c r="G35" s="3185"/>
    </row>
    <row r="36" spans="1:7" hidden="1">
      <c r="A36" s="1327">
        <v>3</v>
      </c>
      <c r="B36" s="1324" t="s">
        <v>1129</v>
      </c>
      <c r="C36" s="1324"/>
      <c r="D36" s="1324"/>
      <c r="E36" s="3185"/>
      <c r="F36" s="3185"/>
      <c r="G36" s="3185"/>
    </row>
    <row r="37" spans="1:7" hidden="1">
      <c r="A37" s="1327">
        <v>4</v>
      </c>
      <c r="B37" s="1324" t="s">
        <v>1130</v>
      </c>
      <c r="C37" s="1324"/>
      <c r="D37" s="1324"/>
      <c r="E37" s="3185"/>
      <c r="F37" s="3185"/>
      <c r="G37" s="3185"/>
    </row>
    <row r="38" spans="1:7" hidden="1">
      <c r="A38" s="3181" t="s">
        <v>1131</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2528</v>
      </c>
      <c r="C1" s="1633" t="s">
        <v>2529</v>
      </c>
      <c r="D1" s="1620"/>
      <c r="E1" s="2585"/>
      <c r="F1" s="2586" t="s">
        <v>2530</v>
      </c>
      <c r="G1" s="1630" t="s">
        <v>2531</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2532</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2533</v>
      </c>
      <c r="D3" s="399">
        <f>IF(D1="",'数据-汇总表'!E3,SUMIF('数据-汇总表'!$C19:$C33,D1,'数据-汇总表'!$E19:$E33))</f>
        <v>140932.81</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2534</v>
      </c>
      <c r="B4" s="402"/>
      <c r="C4" s="3220" t="s">
        <v>2535</v>
      </c>
      <c r="D4" s="3221"/>
      <c r="E4" s="3222" t="s">
        <v>2536</v>
      </c>
      <c r="F4" s="3223"/>
      <c r="G4" s="3220" t="s">
        <v>2537</v>
      </c>
      <c r="H4" s="3221"/>
      <c r="I4" s="3220" t="s">
        <v>2538</v>
      </c>
      <c r="J4" s="3221"/>
      <c r="K4" s="2598" t="s">
        <v>2539</v>
      </c>
      <c r="L4" s="1129"/>
      <c r="M4" s="1130"/>
      <c r="N4" s="1130"/>
      <c r="O4" s="1130"/>
      <c r="P4" s="3224" t="s">
        <v>2540</v>
      </c>
      <c r="Q4" s="3225"/>
      <c r="R4" s="3230" t="s">
        <v>2536</v>
      </c>
      <c r="S4" s="3231"/>
      <c r="T4" s="3230" t="s">
        <v>2537</v>
      </c>
      <c r="U4" s="3231"/>
      <c r="V4" s="3236" t="s">
        <v>2538</v>
      </c>
      <c r="W4" s="3236"/>
      <c r="X4" s="1812"/>
      <c r="Y4" s="3230" t="s">
        <v>2540</v>
      </c>
      <c r="Z4" s="3231"/>
      <c r="AA4" s="3217" t="s">
        <v>2536</v>
      </c>
      <c r="AB4" s="3217" t="s">
        <v>2537</v>
      </c>
      <c r="AC4" s="3217" t="s">
        <v>2538</v>
      </c>
    </row>
    <row r="5" spans="1:29" ht="15">
      <c r="A5" s="404"/>
      <c r="B5" s="405"/>
      <c r="C5" s="3239" t="s">
        <v>2541</v>
      </c>
      <c r="D5" s="3240"/>
      <c r="E5" s="3246" t="s">
        <v>2542</v>
      </c>
      <c r="F5" s="3247"/>
      <c r="G5" s="3239" t="s">
        <v>2543</v>
      </c>
      <c r="H5" s="3240"/>
      <c r="I5" s="3239" t="s">
        <v>2544</v>
      </c>
      <c r="J5" s="3240"/>
      <c r="K5" s="2599"/>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2599"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41" t="s">
        <v>2548</v>
      </c>
      <c r="Q7" s="3243"/>
      <c r="R7" s="770" t="s">
        <v>23</v>
      </c>
      <c r="S7" s="771">
        <f t="shared" ref="S7:S15" si="0">F7</f>
        <v>0</v>
      </c>
      <c r="T7" s="770" t="s">
        <v>23</v>
      </c>
      <c r="U7" s="771">
        <f t="shared" ref="U7:U15" si="1">H7</f>
        <v>0</v>
      </c>
      <c r="V7" s="770" t="s">
        <v>23</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41" t="s">
        <v>2551</v>
      </c>
      <c r="Q8" s="3242"/>
      <c r="R8" s="770" t="s">
        <v>23</v>
      </c>
      <c r="S8" s="771">
        <f t="shared" si="0"/>
        <v>0</v>
      </c>
      <c r="T8" s="770" t="s">
        <v>23</v>
      </c>
      <c r="U8" s="771">
        <f t="shared" si="1"/>
        <v>0</v>
      </c>
      <c r="V8" s="770" t="s">
        <v>23</v>
      </c>
      <c r="W8" s="771">
        <f t="shared" si="2"/>
        <v>0</v>
      </c>
      <c r="X8" s="772"/>
      <c r="Y8" s="3241" t="s">
        <v>2551</v>
      </c>
      <c r="Z8" s="324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216"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6"/>
      <c r="Q11" s="1794"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216"/>
      <c r="Q12" s="1794">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216"/>
      <c r="Q13" s="1794">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216"/>
      <c r="Q14" s="1794">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4" t="s">
        <v>2559</v>
      </c>
      <c r="Q15" s="1809" t="str">
        <f t="shared" si="6"/>
        <v>居住社区成熟度</v>
      </c>
      <c r="R15" s="774" t="s">
        <v>21</v>
      </c>
      <c r="S15" s="775">
        <f t="shared" si="0"/>
        <v>100</v>
      </c>
      <c r="T15" s="774" t="s">
        <v>21</v>
      </c>
      <c r="U15" s="775">
        <f t="shared" si="1"/>
        <v>100</v>
      </c>
      <c r="V15" s="774" t="s">
        <v>21</v>
      </c>
      <c r="W15" s="775">
        <f t="shared" si="2"/>
        <v>100</v>
      </c>
      <c r="X15" s="1812"/>
      <c r="Y15" s="3207" t="s">
        <v>2559</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15"/>
      <c r="Q16" s="1809"/>
      <c r="R16" s="774"/>
      <c r="S16" s="775"/>
      <c r="T16" s="774"/>
      <c r="U16" s="775"/>
      <c r="V16" s="774"/>
      <c r="W16" s="775"/>
      <c r="X16" s="1812"/>
      <c r="Y16" s="3208"/>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5"/>
      <c r="Q17" s="1809" t="str">
        <f>B17</f>
        <v>交通便捷度</v>
      </c>
      <c r="R17" s="774" t="s">
        <v>21</v>
      </c>
      <c r="S17" s="775">
        <f>F17</f>
        <v>100</v>
      </c>
      <c r="T17" s="774" t="s">
        <v>21</v>
      </c>
      <c r="U17" s="775">
        <f>H17</f>
        <v>100</v>
      </c>
      <c r="V17" s="774" t="s">
        <v>21</v>
      </c>
      <c r="W17" s="775">
        <f>J17</f>
        <v>100</v>
      </c>
      <c r="X17" s="1812"/>
      <c r="Y17" s="3208"/>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15"/>
      <c r="Q18" s="1809"/>
      <c r="R18" s="774"/>
      <c r="S18" s="775"/>
      <c r="T18" s="774"/>
      <c r="U18" s="775"/>
      <c r="V18" s="774"/>
      <c r="W18" s="775"/>
      <c r="X18" s="1812"/>
      <c r="Y18" s="3208"/>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5"/>
      <c r="Q19" s="1809" t="str">
        <f>B19</f>
        <v>公共配套设施</v>
      </c>
      <c r="R19" s="774" t="s">
        <v>21</v>
      </c>
      <c r="S19" s="775">
        <f>F19</f>
        <v>100</v>
      </c>
      <c r="T19" s="774" t="s">
        <v>21</v>
      </c>
      <c r="U19" s="775">
        <f>H19</f>
        <v>100</v>
      </c>
      <c r="V19" s="774" t="s">
        <v>21</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15"/>
      <c r="Q20" s="1809"/>
      <c r="R20" s="774"/>
      <c r="S20" s="775"/>
      <c r="T20" s="774"/>
      <c r="U20" s="775"/>
      <c r="V20" s="774"/>
      <c r="W20" s="775"/>
      <c r="X20" s="1812"/>
      <c r="Y20" s="3208"/>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15"/>
      <c r="Q22" s="1809"/>
      <c r="R22" s="774"/>
      <c r="S22" s="775"/>
      <c r="T22" s="774"/>
      <c r="U22" s="775"/>
      <c r="V22" s="774"/>
      <c r="W22" s="775"/>
      <c r="X22" s="1812"/>
      <c r="Y22" s="3208"/>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5"/>
      <c r="Q23" s="1809" t="str">
        <f>B23</f>
        <v>自然及人文环境</v>
      </c>
      <c r="R23" s="774" t="s">
        <v>21</v>
      </c>
      <c r="S23" s="775">
        <f>F23</f>
        <v>100</v>
      </c>
      <c r="T23" s="774" t="s">
        <v>21</v>
      </c>
      <c r="U23" s="775">
        <f>H23</f>
        <v>100</v>
      </c>
      <c r="V23" s="774" t="s">
        <v>21</v>
      </c>
      <c r="W23" s="775">
        <f>J23</f>
        <v>100</v>
      </c>
      <c r="X23" s="1812"/>
      <c r="Y23" s="3208"/>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15"/>
      <c r="Q24" s="1809"/>
      <c r="R24" s="774"/>
      <c r="S24" s="775"/>
      <c r="T24" s="774"/>
      <c r="U24" s="775"/>
      <c r="V24" s="774"/>
      <c r="W24" s="775"/>
      <c r="X24" s="1812"/>
      <c r="Y24" s="3208"/>
      <c r="Z24" s="1813"/>
      <c r="AA24" s="1810">
        <v>1</v>
      </c>
      <c r="AB24" s="1810">
        <v>1</v>
      </c>
      <c r="AC24" s="1810">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1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8"/>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15"/>
      <c r="Q26" s="1809" t="str">
        <f t="shared" si="11"/>
        <v>朝向</v>
      </c>
      <c r="R26" s="774" t="s">
        <v>21</v>
      </c>
      <c r="S26" s="775">
        <f t="shared" si="12"/>
        <v>100</v>
      </c>
      <c r="T26" s="774" t="s">
        <v>21</v>
      </c>
      <c r="U26" s="775">
        <f t="shared" si="13"/>
        <v>100</v>
      </c>
      <c r="V26" s="774" t="s">
        <v>21</v>
      </c>
      <c r="W26" s="775">
        <f t="shared" si="14"/>
        <v>100</v>
      </c>
      <c r="X26" s="1812"/>
      <c r="Y26" s="3208"/>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15"/>
      <c r="Q27" s="1794">
        <f t="shared" si="11"/>
        <v>111</v>
      </c>
      <c r="R27" s="770" t="s">
        <v>21</v>
      </c>
      <c r="S27" s="771">
        <f t="shared" si="12"/>
        <v>100</v>
      </c>
      <c r="T27" s="770" t="s">
        <v>21</v>
      </c>
      <c r="U27" s="771">
        <f t="shared" si="13"/>
        <v>100</v>
      </c>
      <c r="V27" s="770" t="s">
        <v>21</v>
      </c>
      <c r="W27" s="771">
        <f t="shared" si="14"/>
        <v>100</v>
      </c>
      <c r="X27" s="772"/>
      <c r="Y27" s="3208"/>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15"/>
      <c r="Q28" s="1809">
        <f t="shared" si="11"/>
        <v>111</v>
      </c>
      <c r="R28" s="774" t="s">
        <v>21</v>
      </c>
      <c r="S28" s="775">
        <f t="shared" si="12"/>
        <v>100</v>
      </c>
      <c r="T28" s="774" t="s">
        <v>21</v>
      </c>
      <c r="U28" s="775">
        <f t="shared" si="13"/>
        <v>100</v>
      </c>
      <c r="V28" s="774" t="s">
        <v>21</v>
      </c>
      <c r="W28" s="775">
        <f t="shared" si="14"/>
        <v>100</v>
      </c>
      <c r="X28" s="1812"/>
      <c r="Y28" s="3208"/>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15"/>
      <c r="Q29" s="1809">
        <f t="shared" si="11"/>
        <v>111</v>
      </c>
      <c r="R29" s="774" t="s">
        <v>21</v>
      </c>
      <c r="S29" s="775">
        <f t="shared" si="12"/>
        <v>100</v>
      </c>
      <c r="T29" s="774" t="s">
        <v>21</v>
      </c>
      <c r="U29" s="775">
        <f t="shared" si="13"/>
        <v>100</v>
      </c>
      <c r="V29" s="774" t="s">
        <v>21</v>
      </c>
      <c r="W29" s="775">
        <f t="shared" si="14"/>
        <v>100</v>
      </c>
      <c r="X29" s="1812"/>
      <c r="Y29" s="3208"/>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15"/>
      <c r="Q30" s="1809">
        <f t="shared" si="11"/>
        <v>111</v>
      </c>
      <c r="R30" s="774" t="s">
        <v>21</v>
      </c>
      <c r="S30" s="775">
        <f t="shared" si="12"/>
        <v>100</v>
      </c>
      <c r="T30" s="774" t="s">
        <v>21</v>
      </c>
      <c r="U30" s="775">
        <f t="shared" si="13"/>
        <v>100</v>
      </c>
      <c r="V30" s="774" t="s">
        <v>21</v>
      </c>
      <c r="W30" s="775">
        <f t="shared" si="14"/>
        <v>100</v>
      </c>
      <c r="X30" s="1812"/>
      <c r="Y30" s="3208"/>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15"/>
      <c r="Q31" s="1809">
        <f t="shared" si="11"/>
        <v>111</v>
      </c>
      <c r="R31" s="774" t="s">
        <v>21</v>
      </c>
      <c r="S31" s="775">
        <f t="shared" si="12"/>
        <v>100</v>
      </c>
      <c r="T31" s="774" t="s">
        <v>21</v>
      </c>
      <c r="U31" s="775">
        <f t="shared" si="13"/>
        <v>100</v>
      </c>
      <c r="V31" s="774" t="s">
        <v>21</v>
      </c>
      <c r="W31" s="775">
        <f t="shared" si="14"/>
        <v>100</v>
      </c>
      <c r="X31" s="1812"/>
      <c r="Y31" s="3208"/>
      <c r="Z31" s="1813">
        <f t="shared" si="18"/>
        <v>111</v>
      </c>
      <c r="AA31" s="1810">
        <f t="shared" si="15"/>
        <v>1</v>
      </c>
      <c r="AB31" s="1810">
        <f t="shared" si="16"/>
        <v>1</v>
      </c>
      <c r="AC31" s="1810">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09" t="s">
        <v>2564</v>
      </c>
      <c r="Q32" s="1809" t="str">
        <f t="shared" si="11"/>
        <v>建筑类型</v>
      </c>
      <c r="R32" s="774" t="s">
        <v>21</v>
      </c>
      <c r="S32" s="775">
        <f t="shared" si="12"/>
        <v>100</v>
      </c>
      <c r="T32" s="774" t="s">
        <v>21</v>
      </c>
      <c r="U32" s="775">
        <f t="shared" si="13"/>
        <v>100</v>
      </c>
      <c r="V32" s="774" t="s">
        <v>21</v>
      </c>
      <c r="W32" s="775">
        <f t="shared" si="14"/>
        <v>100</v>
      </c>
      <c r="X32" s="1812"/>
      <c r="Y32" s="3212"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0" t="e">
        <f t="shared" si="15"/>
        <v>#N/A</v>
      </c>
      <c r="AB33" s="1810" t="e">
        <f t="shared" si="16"/>
        <v>#N/A</v>
      </c>
      <c r="AC33" s="1810"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10"/>
      <c r="Q34" s="1809" t="str">
        <f t="shared" si="11"/>
        <v>建筑结构</v>
      </c>
      <c r="R34" s="774" t="s">
        <v>21</v>
      </c>
      <c r="S34" s="775">
        <f t="shared" si="12"/>
        <v>100</v>
      </c>
      <c r="T34" s="774" t="s">
        <v>21</v>
      </c>
      <c r="U34" s="775">
        <f t="shared" si="13"/>
        <v>100</v>
      </c>
      <c r="V34" s="774" t="s">
        <v>21</v>
      </c>
      <c r="W34" s="775">
        <f t="shared" si="14"/>
        <v>100</v>
      </c>
      <c r="X34" s="1812"/>
      <c r="Y34" s="3212"/>
      <c r="Z34" s="1813" t="str">
        <f t="shared" si="18"/>
        <v>建筑结构</v>
      </c>
      <c r="AA34" s="1810">
        <f t="shared" si="15"/>
        <v>1</v>
      </c>
      <c r="AB34" s="1810">
        <f t="shared" si="16"/>
        <v>1</v>
      </c>
      <c r="AC34" s="1810">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10"/>
      <c r="Q35" s="1809" t="str">
        <f t="shared" si="11"/>
        <v>建筑品质</v>
      </c>
      <c r="R35" s="774" t="s">
        <v>21</v>
      </c>
      <c r="S35" s="775">
        <f t="shared" si="12"/>
        <v>100</v>
      </c>
      <c r="T35" s="774" t="s">
        <v>21</v>
      </c>
      <c r="U35" s="775">
        <f t="shared" si="13"/>
        <v>100</v>
      </c>
      <c r="V35" s="774" t="s">
        <v>21</v>
      </c>
      <c r="W35" s="775">
        <f t="shared" si="14"/>
        <v>100</v>
      </c>
      <c r="X35" s="1812"/>
      <c r="Y35" s="3212"/>
      <c r="Z35" s="1813" t="str">
        <f t="shared" si="18"/>
        <v>建筑品质</v>
      </c>
      <c r="AA35" s="1810">
        <f t="shared" si="15"/>
        <v>1</v>
      </c>
      <c r="AB35" s="1810">
        <f t="shared" si="16"/>
        <v>1</v>
      </c>
      <c r="AC35" s="1810">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10"/>
      <c r="Q36" s="1809" t="str">
        <f t="shared" si="11"/>
        <v>公共部分装修</v>
      </c>
      <c r="R36" s="774" t="s">
        <v>21</v>
      </c>
      <c r="S36" s="775">
        <f t="shared" si="12"/>
        <v>100</v>
      </c>
      <c r="T36" s="774" t="s">
        <v>21</v>
      </c>
      <c r="U36" s="775">
        <f t="shared" si="13"/>
        <v>100</v>
      </c>
      <c r="V36" s="774" t="s">
        <v>21</v>
      </c>
      <c r="W36" s="775">
        <f t="shared" si="14"/>
        <v>100</v>
      </c>
      <c r="X36" s="1812"/>
      <c r="Y36" s="3212"/>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0"/>
      <c r="Q37" s="1794"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10" t="s">
        <v>2564</v>
      </c>
      <c r="Q38" s="1809" t="str">
        <f t="shared" si="11"/>
        <v>物业管理</v>
      </c>
      <c r="R38" s="774" t="s">
        <v>21</v>
      </c>
      <c r="S38" s="775">
        <f t="shared" si="12"/>
        <v>100</v>
      </c>
      <c r="T38" s="774" t="s">
        <v>21</v>
      </c>
      <c r="U38" s="775">
        <f t="shared" si="13"/>
        <v>100</v>
      </c>
      <c r="V38" s="774" t="s">
        <v>21</v>
      </c>
      <c r="W38" s="775">
        <f t="shared" si="14"/>
        <v>100</v>
      </c>
      <c r="X38" s="1812"/>
      <c r="Y38" s="3212" t="s">
        <v>2564</v>
      </c>
      <c r="Z38" s="1813" t="str">
        <f t="shared" si="18"/>
        <v>物业管理</v>
      </c>
      <c r="AA38" s="1810">
        <f t="shared" si="15"/>
        <v>1</v>
      </c>
      <c r="AB38" s="1810">
        <f t="shared" si="16"/>
        <v>1</v>
      </c>
      <c r="AC38" s="1810">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10"/>
      <c r="Q39" s="1809" t="str">
        <f t="shared" si="11"/>
        <v>市政基础设施</v>
      </c>
      <c r="R39" s="774" t="s">
        <v>21</v>
      </c>
      <c r="S39" s="775">
        <f t="shared" si="12"/>
        <v>100</v>
      </c>
      <c r="T39" s="774" t="s">
        <v>21</v>
      </c>
      <c r="U39" s="775">
        <f t="shared" si="13"/>
        <v>100</v>
      </c>
      <c r="V39" s="774" t="s">
        <v>21</v>
      </c>
      <c r="W39" s="775">
        <f t="shared" si="14"/>
        <v>100</v>
      </c>
      <c r="X39" s="1812"/>
      <c r="Y39" s="3212"/>
      <c r="Z39" s="1813" t="str">
        <f t="shared" si="18"/>
        <v>市政基础设施</v>
      </c>
      <c r="AA39" s="1810">
        <f t="shared" si="15"/>
        <v>1</v>
      </c>
      <c r="AB39" s="1810">
        <f t="shared" si="16"/>
        <v>1</v>
      </c>
      <c r="AC39" s="1810">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10"/>
      <c r="Q40" s="1809" t="str">
        <f t="shared" si="11"/>
        <v>房型</v>
      </c>
      <c r="R40" s="774" t="s">
        <v>21</v>
      </c>
      <c r="S40" s="775">
        <f t="shared" si="12"/>
        <v>100</v>
      </c>
      <c r="T40" s="774" t="s">
        <v>21</v>
      </c>
      <c r="U40" s="775">
        <f t="shared" si="13"/>
        <v>100</v>
      </c>
      <c r="V40" s="774" t="s">
        <v>21</v>
      </c>
      <c r="W40" s="775">
        <f t="shared" si="14"/>
        <v>100</v>
      </c>
      <c r="X40" s="1812"/>
      <c r="Y40" s="3212"/>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0">
        <f t="shared" si="15"/>
        <v>1</v>
      </c>
      <c r="AB41" s="1810">
        <f t="shared" si="16"/>
        <v>1</v>
      </c>
      <c r="AC41" s="1810">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10"/>
      <c r="Q42" s="1809" t="str">
        <f t="shared" si="11"/>
        <v>内部装修</v>
      </c>
      <c r="R42" s="774" t="s">
        <v>21</v>
      </c>
      <c r="S42" s="775">
        <f t="shared" si="12"/>
        <v>100</v>
      </c>
      <c r="T42" s="774" t="s">
        <v>21</v>
      </c>
      <c r="U42" s="775">
        <f t="shared" si="13"/>
        <v>100</v>
      </c>
      <c r="V42" s="774" t="s">
        <v>21</v>
      </c>
      <c r="W42" s="775">
        <f t="shared" si="14"/>
        <v>100</v>
      </c>
      <c r="X42" s="1812"/>
      <c r="Y42" s="3212"/>
      <c r="Z42" s="1813" t="str">
        <f t="shared" si="18"/>
        <v>内部装修</v>
      </c>
      <c r="AA42" s="1810">
        <f t="shared" si="15"/>
        <v>1</v>
      </c>
      <c r="AB42" s="1810">
        <f t="shared" si="16"/>
        <v>1</v>
      </c>
      <c r="AC42" s="1810">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10"/>
      <c r="Q43" s="1809" t="str">
        <f t="shared" si="11"/>
        <v>内部装修维护情况</v>
      </c>
      <c r="R43" s="774" t="s">
        <v>21</v>
      </c>
      <c r="S43" s="775">
        <f t="shared" si="12"/>
        <v>100</v>
      </c>
      <c r="T43" s="774" t="s">
        <v>21</v>
      </c>
      <c r="U43" s="775">
        <f t="shared" si="13"/>
        <v>100</v>
      </c>
      <c r="V43" s="774" t="s">
        <v>21</v>
      </c>
      <c r="W43" s="775">
        <f t="shared" si="14"/>
        <v>100</v>
      </c>
      <c r="X43" s="1812"/>
      <c r="Y43" s="3212"/>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10"/>
      <c r="Q44" s="1794">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10"/>
      <c r="Q45" s="1809">
        <f t="shared" si="11"/>
        <v>111</v>
      </c>
      <c r="R45" s="774" t="s">
        <v>21</v>
      </c>
      <c r="S45" s="775">
        <f t="shared" si="12"/>
        <v>100</v>
      </c>
      <c r="T45" s="774" t="s">
        <v>21</v>
      </c>
      <c r="U45" s="775">
        <f t="shared" si="13"/>
        <v>100</v>
      </c>
      <c r="V45" s="774" t="s">
        <v>21</v>
      </c>
      <c r="W45" s="775">
        <f t="shared" si="14"/>
        <v>100</v>
      </c>
      <c r="X45" s="1812"/>
      <c r="Y45" s="3212"/>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11"/>
      <c r="Q46" s="1809">
        <f t="shared" si="11"/>
        <v>111</v>
      </c>
      <c r="R46" s="774" t="s">
        <v>20</v>
      </c>
      <c r="S46" s="775">
        <f t="shared" si="12"/>
        <v>100</v>
      </c>
      <c r="T46" s="774" t="s">
        <v>20</v>
      </c>
      <c r="U46" s="775">
        <f t="shared" si="13"/>
        <v>100</v>
      </c>
      <c r="V46" s="774" t="s">
        <v>20</v>
      </c>
      <c r="W46" s="775">
        <f t="shared" si="14"/>
        <v>100</v>
      </c>
      <c r="X46" s="1812"/>
      <c r="Y46" s="3213"/>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23"/>
      <c r="L47" s="1142"/>
      <c r="M47" s="1143"/>
      <c r="N47" s="1130"/>
      <c r="O47" s="1143"/>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4"/>
      <c r="L48" s="1142"/>
      <c r="M48" s="1143"/>
      <c r="N48" s="1143"/>
      <c r="O48" s="1143"/>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5"/>
      <c r="L49" s="1142"/>
      <c r="M49" s="1143"/>
      <c r="N49" s="1143"/>
      <c r="O49" s="1143"/>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2582</v>
      </c>
      <c r="B57" s="759"/>
      <c r="C57" s="764"/>
      <c r="D57" s="764"/>
      <c r="E57" s="764"/>
      <c r="F57" s="765"/>
      <c r="G57" s="765"/>
      <c r="H57" s="764"/>
      <c r="I57" s="764"/>
      <c r="J57" s="764"/>
      <c r="K57" s="1159"/>
      <c r="L57" s="1160"/>
      <c r="M57" s="1158"/>
      <c r="N57" s="1158"/>
      <c r="O57" s="1158"/>
      <c r="P57" s="2628"/>
      <c r="Q57" s="504"/>
    </row>
    <row r="58" spans="1:29" s="508" customFormat="1" ht="15">
      <c r="A58" s="505" t="s">
        <v>2583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2609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2610</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2562</v>
      </c>
      <c r="B100" s="528" t="s">
        <v>2611</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2614</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2615</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2616</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2617</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2618</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2573</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3">
        <v>6</v>
      </c>
      <c r="C139" s="1084">
        <v>96</v>
      </c>
      <c r="D139" s="2650" t="s">
        <v>2630</v>
      </c>
      <c r="E139" s="1085">
        <v>100</v>
      </c>
      <c r="F139" s="1086">
        <v>102.5</v>
      </c>
      <c r="G139" s="2650" t="s">
        <v>2630</v>
      </c>
      <c r="H139" s="1087">
        <v>105</v>
      </c>
      <c r="I139" s="2651" t="s">
        <v>2631</v>
      </c>
      <c r="J139" s="1084">
        <v>20</v>
      </c>
      <c r="K139" s="1088">
        <f>C145/(J139-2)</f>
        <v>4.0555555555555553E-3</v>
      </c>
    </row>
    <row r="140" spans="1:17" ht="15">
      <c r="B140" s="1089">
        <v>5</v>
      </c>
      <c r="C140" s="1090">
        <v>100</v>
      </c>
      <c r="D140" s="1090"/>
      <c r="E140" s="1091"/>
      <c r="F140" s="1092">
        <v>102</v>
      </c>
      <c r="G140" s="1090"/>
      <c r="H140" s="1093"/>
      <c r="I140" s="2652" t="s">
        <v>2632</v>
      </c>
      <c r="J140" s="315">
        <f>ROUNDUP((J139-1)/2,0)</f>
        <v>10</v>
      </c>
      <c r="K140" s="1094">
        <v>100</v>
      </c>
    </row>
    <row r="141" spans="1:17" ht="15">
      <c r="B141" s="1089">
        <v>4</v>
      </c>
      <c r="C141" s="1090">
        <v>102</v>
      </c>
      <c r="D141" s="1090"/>
      <c r="E141" s="1091"/>
      <c r="F141" s="1092">
        <v>101.5</v>
      </c>
      <c r="G141" s="1090"/>
      <c r="H141" s="1093"/>
      <c r="I141" s="2652" t="s">
        <v>2633</v>
      </c>
      <c r="J141" s="315">
        <v>1</v>
      </c>
      <c r="K141" s="1095">
        <f>ROUND(100+(J141-J140)*K139*100,1)</f>
        <v>96.4</v>
      </c>
    </row>
    <row r="142" spans="1:17" ht="15">
      <c r="B142" s="1089">
        <v>3</v>
      </c>
      <c r="C142" s="1090">
        <v>103</v>
      </c>
      <c r="D142" s="1090"/>
      <c r="E142" s="1091"/>
      <c r="F142" s="1092">
        <v>101</v>
      </c>
      <c r="G142" s="1090"/>
      <c r="H142" s="1093"/>
      <c r="I142" s="2652" t="s">
        <v>2634</v>
      </c>
      <c r="J142" s="315">
        <f>J139</f>
        <v>20</v>
      </c>
      <c r="K142" s="1096">
        <v>95</v>
      </c>
    </row>
    <row r="143" spans="1:17" ht="15">
      <c r="B143" s="1089">
        <v>2</v>
      </c>
      <c r="C143" s="1090">
        <v>100</v>
      </c>
      <c r="D143" s="1090"/>
      <c r="E143" s="1091"/>
      <c r="F143" s="1092">
        <v>100.5</v>
      </c>
      <c r="G143" s="1090"/>
      <c r="H143" s="1093"/>
      <c r="I143" s="2652" t="s">
        <v>2635</v>
      </c>
      <c r="J143" s="1090">
        <v>15</v>
      </c>
      <c r="K143" s="1095">
        <f>ROUND(100+(J143-J140)*K139*100,1)</f>
        <v>102</v>
      </c>
    </row>
    <row r="144" spans="1:17" ht="15">
      <c r="B144" s="1089">
        <v>1</v>
      </c>
      <c r="C144" s="1090">
        <v>98</v>
      </c>
      <c r="D144" s="2653" t="s">
        <v>2636</v>
      </c>
      <c r="E144" s="1091">
        <v>102</v>
      </c>
      <c r="F144" s="1097">
        <v>100</v>
      </c>
      <c r="G144" s="2653" t="s">
        <v>2636</v>
      </c>
      <c r="H144" s="1093">
        <v>105</v>
      </c>
      <c r="I144" s="2652" t="s">
        <v>2635</v>
      </c>
      <c r="J144" s="1090">
        <v>18</v>
      </c>
      <c r="K144" s="1095">
        <f>ROUND(100+(J144-J140)*K139*100,1)</f>
        <v>103.2</v>
      </c>
    </row>
    <row r="145" spans="2:11" ht="15.75" thickBot="1">
      <c r="B145" s="2654" t="s">
        <v>2637</v>
      </c>
      <c r="C145" s="1098">
        <f>ROUND(MAX(C139:C144)/MIN(C139:C144)-1,3)</f>
        <v>7.2999999999999995E-2</v>
      </c>
      <c r="D145" s="1099"/>
      <c r="E145" s="1099"/>
      <c r="F145" s="2655" t="s">
        <v>2638</v>
      </c>
      <c r="G145" s="2656"/>
      <c r="H145" s="2657"/>
      <c r="I145" s="2658" t="s">
        <v>2635</v>
      </c>
      <c r="J145" s="1100">
        <v>8</v>
      </c>
      <c r="K145" s="1101">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2641</v>
      </c>
      <c r="C1" s="1633" t="s">
        <v>2529</v>
      </c>
      <c r="D1" s="1620"/>
      <c r="E1" s="2659"/>
      <c r="F1" s="2586"/>
      <c r="G1" s="1630" t="s">
        <v>2642</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2329</v>
      </c>
      <c r="B2" s="1417" t="e">
        <f ca="1">IF(C2="——",ROUND(C49*D3/10000,0),ROUND(C49*D3/10000,0)-D2)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2331</v>
      </c>
      <c r="B3" s="609" t="e">
        <f ca="1">IF(C2="——",C49,ROUND(B2*10000/D3,0))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36"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36"/>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36"/>
      <c r="AC6" s="3219"/>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6"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6"/>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6"/>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6"/>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6"/>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4" t="s">
        <v>2559</v>
      </c>
      <c r="Q15" s="1809" t="str">
        <f t="shared" si="6"/>
        <v>商业繁华度</v>
      </c>
      <c r="R15" s="774" t="s">
        <v>17</v>
      </c>
      <c r="S15" s="775">
        <f t="shared" si="0"/>
        <v>100</v>
      </c>
      <c r="T15" s="774" t="s">
        <v>17</v>
      </c>
      <c r="U15" s="775">
        <f t="shared" si="1"/>
        <v>100</v>
      </c>
      <c r="V15" s="774" t="s">
        <v>17</v>
      </c>
      <c r="W15" s="775">
        <f t="shared" si="2"/>
        <v>100</v>
      </c>
      <c r="X15" s="1812"/>
      <c r="Y15" s="3207"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15"/>
      <c r="Q16" s="1809"/>
      <c r="R16" s="774"/>
      <c r="S16" s="775"/>
      <c r="T16" s="774"/>
      <c r="U16" s="775"/>
      <c r="V16" s="774"/>
      <c r="W16" s="775"/>
      <c r="X16" s="1812"/>
      <c r="Y16" s="3208"/>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5"/>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15"/>
      <c r="Q18" s="1809"/>
      <c r="R18" s="774"/>
      <c r="S18" s="775"/>
      <c r="T18" s="774"/>
      <c r="U18" s="775"/>
      <c r="V18" s="774"/>
      <c r="W18" s="775"/>
      <c r="X18" s="1812"/>
      <c r="Y18" s="3208"/>
      <c r="Z18" s="1813"/>
      <c r="AA18" s="1810">
        <v>1</v>
      </c>
      <c r="AB18" s="1810">
        <v>1</v>
      </c>
      <c r="AC18" s="1810">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5"/>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15"/>
      <c r="Q20" s="1809"/>
      <c r="R20" s="774"/>
      <c r="S20" s="775"/>
      <c r="T20" s="774"/>
      <c r="U20" s="775"/>
      <c r="V20" s="774"/>
      <c r="W20" s="775"/>
      <c r="X20" s="1812"/>
      <c r="Y20" s="3208"/>
      <c r="Z20" s="1813"/>
      <c r="AA20" s="1810">
        <v>1</v>
      </c>
      <c r="AB20" s="1810">
        <v>1</v>
      </c>
      <c r="AC20" s="1810">
        <v>1</v>
      </c>
    </row>
    <row r="21" spans="1:29" ht="28.5">
      <c r="A21" s="428"/>
      <c r="B21" s="1383"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15"/>
      <c r="Q22" s="1809"/>
      <c r="R22" s="774"/>
      <c r="S22" s="775"/>
      <c r="T22" s="774"/>
      <c r="U22" s="775"/>
      <c r="V22" s="774"/>
      <c r="W22" s="775"/>
      <c r="X22" s="1812"/>
      <c r="Y22" s="3208"/>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5"/>
      <c r="Q23" s="1809" t="str">
        <f>B23</f>
        <v>自然及人文环境</v>
      </c>
      <c r="R23" s="774" t="s">
        <v>17</v>
      </c>
      <c r="S23" s="775">
        <f>F23</f>
        <v>100</v>
      </c>
      <c r="T23" s="774" t="s">
        <v>17</v>
      </c>
      <c r="U23" s="775">
        <f>H23</f>
        <v>100</v>
      </c>
      <c r="V23" s="774" t="s">
        <v>17</v>
      </c>
      <c r="W23" s="775">
        <f>J23</f>
        <v>100</v>
      </c>
      <c r="X23" s="1812"/>
      <c r="Y23" s="3208"/>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15"/>
      <c r="Q24" s="1809"/>
      <c r="R24" s="774"/>
      <c r="S24" s="775"/>
      <c r="T24" s="774"/>
      <c r="U24" s="775"/>
      <c r="V24" s="774"/>
      <c r="W24" s="775"/>
      <c r="X24" s="1812"/>
      <c r="Y24" s="3208"/>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5"/>
      <c r="Q25" s="1809" t="str">
        <f t="shared" ref="Q25:Q46" si="11">B25</f>
        <v>临街状况</v>
      </c>
      <c r="R25" s="774" t="s">
        <v>17</v>
      </c>
      <c r="S25" s="775">
        <f>F25</f>
        <v>100</v>
      </c>
      <c r="T25" s="774" t="s">
        <v>17</v>
      </c>
      <c r="U25" s="775">
        <f>H25</f>
        <v>100</v>
      </c>
      <c r="V25" s="774" t="s">
        <v>17</v>
      </c>
      <c r="W25" s="775">
        <f>J25</f>
        <v>100</v>
      </c>
      <c r="X25" s="1812"/>
      <c r="Y25" s="3208"/>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5"/>
      <c r="Q26" s="1809" t="str">
        <f t="shared" si="11"/>
        <v>平面位置/可视性</v>
      </c>
      <c r="R26" s="774" t="s">
        <v>17</v>
      </c>
      <c r="S26" s="775">
        <f>F26</f>
        <v>100</v>
      </c>
      <c r="T26" s="774" t="s">
        <v>17</v>
      </c>
      <c r="U26" s="775">
        <f>H26</f>
        <v>100</v>
      </c>
      <c r="V26" s="774" t="s">
        <v>17</v>
      </c>
      <c r="W26" s="775">
        <f>J26</f>
        <v>100</v>
      </c>
      <c r="X26" s="1812"/>
      <c r="Y26" s="3208"/>
      <c r="Z26" s="1813" t="str">
        <f>Q26</f>
        <v>平面位置/可视性</v>
      </c>
      <c r="AA26" s="1810">
        <f t="shared" si="3"/>
        <v>1</v>
      </c>
      <c r="AB26" s="1810">
        <f t="shared" si="4"/>
        <v>1</v>
      </c>
      <c r="AC26" s="1810">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15"/>
      <c r="Q27" s="1794" t="str">
        <f t="shared" si="11"/>
        <v>人流量</v>
      </c>
      <c r="R27" s="770" t="s">
        <v>17</v>
      </c>
      <c r="S27" s="771">
        <f>F27</f>
        <v>100</v>
      </c>
      <c r="T27" s="770" t="s">
        <v>17</v>
      </c>
      <c r="U27" s="771">
        <f>H27</f>
        <v>100</v>
      </c>
      <c r="V27" s="770" t="s">
        <v>17</v>
      </c>
      <c r="W27" s="771">
        <f>J27</f>
        <v>100</v>
      </c>
      <c r="X27" s="772"/>
      <c r="Y27" s="3208"/>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8"/>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5"/>
      <c r="Q29" s="1809">
        <f t="shared" si="11"/>
        <v>111</v>
      </c>
      <c r="R29" s="774" t="s">
        <v>17</v>
      </c>
      <c r="S29" s="775">
        <f t="shared" si="12"/>
        <v>100</v>
      </c>
      <c r="T29" s="774" t="s">
        <v>17</v>
      </c>
      <c r="U29" s="775">
        <f t="shared" si="13"/>
        <v>100</v>
      </c>
      <c r="V29" s="774" t="s">
        <v>17</v>
      </c>
      <c r="W29" s="775">
        <f t="shared" si="14"/>
        <v>100</v>
      </c>
      <c r="X29" s="1812"/>
      <c r="Y29" s="3208"/>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5"/>
      <c r="Q30" s="1809">
        <f t="shared" si="11"/>
        <v>111</v>
      </c>
      <c r="R30" s="774" t="s">
        <v>17</v>
      </c>
      <c r="S30" s="775">
        <f t="shared" si="12"/>
        <v>100</v>
      </c>
      <c r="T30" s="774" t="s">
        <v>17</v>
      </c>
      <c r="U30" s="775">
        <f t="shared" si="13"/>
        <v>100</v>
      </c>
      <c r="V30" s="774" t="s">
        <v>17</v>
      </c>
      <c r="W30" s="775">
        <f t="shared" si="14"/>
        <v>100</v>
      </c>
      <c r="X30" s="1812"/>
      <c r="Y30" s="3208"/>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5"/>
      <c r="Q31" s="1809">
        <f t="shared" si="11"/>
        <v>111</v>
      </c>
      <c r="R31" s="774" t="s">
        <v>17</v>
      </c>
      <c r="S31" s="775">
        <f t="shared" si="12"/>
        <v>100</v>
      </c>
      <c r="T31" s="774" t="s">
        <v>17</v>
      </c>
      <c r="U31" s="775">
        <f t="shared" si="13"/>
        <v>100</v>
      </c>
      <c r="V31" s="774" t="s">
        <v>17</v>
      </c>
      <c r="W31" s="775">
        <f t="shared" si="14"/>
        <v>100</v>
      </c>
      <c r="X31" s="1812"/>
      <c r="Y31" s="3208"/>
      <c r="Z31" s="1813">
        <f t="shared" si="15"/>
        <v>111</v>
      </c>
      <c r="AA31" s="1810">
        <f t="shared" si="3"/>
        <v>1</v>
      </c>
      <c r="AB31" s="1810">
        <f t="shared" si="4"/>
        <v>1</v>
      </c>
      <c r="AC31" s="1810">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09" t="s">
        <v>2564</v>
      </c>
      <c r="Q32" s="1809" t="str">
        <f t="shared" si="11"/>
        <v>商业类型</v>
      </c>
      <c r="R32" s="774" t="s">
        <v>17</v>
      </c>
      <c r="S32" s="775">
        <f t="shared" si="12"/>
        <v>100</v>
      </c>
      <c r="T32" s="774" t="s">
        <v>17</v>
      </c>
      <c r="U32" s="775">
        <f t="shared" si="13"/>
        <v>100</v>
      </c>
      <c r="V32" s="774" t="s">
        <v>17</v>
      </c>
      <c r="W32" s="775">
        <f t="shared" si="14"/>
        <v>100</v>
      </c>
      <c r="X32" s="1812"/>
      <c r="Y32" s="3212"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0" t="e">
        <f t="shared" si="3"/>
        <v>#N/A</v>
      </c>
      <c r="AB33" s="1810" t="e">
        <f t="shared" si="4"/>
        <v>#N/A</v>
      </c>
      <c r="AC33" s="1810"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10"/>
      <c r="Q34" s="1809" t="str">
        <f t="shared" si="11"/>
        <v>建筑结构</v>
      </c>
      <c r="R34" s="774" t="s">
        <v>17</v>
      </c>
      <c r="S34" s="775">
        <f t="shared" si="12"/>
        <v>100</v>
      </c>
      <c r="T34" s="774" t="s">
        <v>17</v>
      </c>
      <c r="U34" s="775">
        <f t="shared" si="13"/>
        <v>100</v>
      </c>
      <c r="V34" s="774" t="s">
        <v>17</v>
      </c>
      <c r="W34" s="775">
        <f t="shared" si="14"/>
        <v>100</v>
      </c>
      <c r="X34" s="1812"/>
      <c r="Y34" s="3212"/>
      <c r="Z34" s="1813" t="str">
        <f t="shared" si="15"/>
        <v>建筑结构</v>
      </c>
      <c r="AA34" s="1810">
        <f t="shared" si="3"/>
        <v>1</v>
      </c>
      <c r="AB34" s="1810">
        <f t="shared" si="4"/>
        <v>1</v>
      </c>
      <c r="AC34" s="1810">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10"/>
      <c r="Q35" s="1809" t="str">
        <f t="shared" si="11"/>
        <v>公共部分装修</v>
      </c>
      <c r="R35" s="774" t="s">
        <v>17</v>
      </c>
      <c r="S35" s="775">
        <f t="shared" si="12"/>
        <v>100</v>
      </c>
      <c r="T35" s="774" t="s">
        <v>17</v>
      </c>
      <c r="U35" s="775">
        <f t="shared" si="13"/>
        <v>100</v>
      </c>
      <c r="V35" s="774" t="s">
        <v>17</v>
      </c>
      <c r="W35" s="775">
        <f t="shared" si="14"/>
        <v>100</v>
      </c>
      <c r="X35" s="1812"/>
      <c r="Y35" s="3212"/>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0"/>
      <c r="Q36" s="1809" t="str">
        <f t="shared" si="11"/>
        <v>成新度</v>
      </c>
      <c r="R36" s="774" t="s">
        <v>17</v>
      </c>
      <c r="S36" s="775" t="e">
        <f t="shared" si="12"/>
        <v>#N/A</v>
      </c>
      <c r="T36" s="774" t="s">
        <v>17</v>
      </c>
      <c r="U36" s="775" t="e">
        <f t="shared" si="13"/>
        <v>#N/A</v>
      </c>
      <c r="V36" s="774" t="s">
        <v>17</v>
      </c>
      <c r="W36" s="775" t="e">
        <f t="shared" si="14"/>
        <v>#N/A</v>
      </c>
      <c r="X36" s="1812"/>
      <c r="Y36" s="3212"/>
      <c r="Z36" s="1813" t="str">
        <f t="shared" si="15"/>
        <v>成新度</v>
      </c>
      <c r="AA36" s="1810" t="e">
        <f t="shared" si="3"/>
        <v>#N/A</v>
      </c>
      <c r="AB36" s="1810" t="e">
        <f t="shared" si="4"/>
        <v>#N/A</v>
      </c>
      <c r="AC36" s="1810"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10"/>
      <c r="Q37" s="1794"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10" t="s">
        <v>2564</v>
      </c>
      <c r="Q38" s="1809" t="str">
        <f t="shared" si="11"/>
        <v>业态</v>
      </c>
      <c r="R38" s="774" t="s">
        <v>17</v>
      </c>
      <c r="S38" s="775">
        <f t="shared" si="12"/>
        <v>100</v>
      </c>
      <c r="T38" s="774" t="s">
        <v>17</v>
      </c>
      <c r="U38" s="775">
        <f t="shared" si="13"/>
        <v>100</v>
      </c>
      <c r="V38" s="774" t="s">
        <v>17</v>
      </c>
      <c r="W38" s="775">
        <f t="shared" si="14"/>
        <v>100</v>
      </c>
      <c r="X38" s="1812"/>
      <c r="Y38" s="3212" t="s">
        <v>2564</v>
      </c>
      <c r="Z38" s="1813" t="str">
        <f t="shared" si="15"/>
        <v>业态</v>
      </c>
      <c r="AA38" s="1810">
        <f t="shared" si="3"/>
        <v>1</v>
      </c>
      <c r="AB38" s="1810">
        <f t="shared" si="4"/>
        <v>1</v>
      </c>
      <c r="AC38" s="1810">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10"/>
      <c r="Q39" s="1809" t="str">
        <f t="shared" si="11"/>
        <v>层高</v>
      </c>
      <c r="R39" s="774" t="s">
        <v>17</v>
      </c>
      <c r="S39" s="775">
        <f t="shared" si="12"/>
        <v>100</v>
      </c>
      <c r="T39" s="774" t="s">
        <v>17</v>
      </c>
      <c r="U39" s="775">
        <f t="shared" si="13"/>
        <v>100</v>
      </c>
      <c r="V39" s="774" t="s">
        <v>17</v>
      </c>
      <c r="W39" s="775">
        <f t="shared" si="14"/>
        <v>100</v>
      </c>
      <c r="X39" s="1812"/>
      <c r="Y39" s="3212"/>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0"/>
      <c r="Q40" s="1809" t="str">
        <f t="shared" si="11"/>
        <v>单套建筑面积</v>
      </c>
      <c r="R40" s="774" t="s">
        <v>17</v>
      </c>
      <c r="S40" s="775">
        <f t="shared" si="12"/>
        <v>100</v>
      </c>
      <c r="T40" s="774" t="s">
        <v>17</v>
      </c>
      <c r="U40" s="775">
        <f t="shared" si="13"/>
        <v>100</v>
      </c>
      <c r="V40" s="774" t="s">
        <v>17</v>
      </c>
      <c r="W40" s="775">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0">
        <f t="shared" si="3"/>
        <v>1</v>
      </c>
      <c r="AB41" s="1810">
        <f t="shared" si="4"/>
        <v>1</v>
      </c>
      <c r="AC41" s="1810">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10"/>
      <c r="Q42" s="1809" t="str">
        <f t="shared" si="11"/>
        <v>内部装修</v>
      </c>
      <c r="R42" s="774" t="s">
        <v>17</v>
      </c>
      <c r="S42" s="775">
        <f t="shared" si="12"/>
        <v>100</v>
      </c>
      <c r="T42" s="774" t="s">
        <v>17</v>
      </c>
      <c r="U42" s="775">
        <f t="shared" si="13"/>
        <v>100</v>
      </c>
      <c r="V42" s="774" t="s">
        <v>17</v>
      </c>
      <c r="W42" s="775">
        <f t="shared" si="14"/>
        <v>100</v>
      </c>
      <c r="X42" s="1812"/>
      <c r="Y42" s="3212"/>
      <c r="Z42" s="1813" t="str">
        <f t="shared" si="15"/>
        <v>内部装修</v>
      </c>
      <c r="AA42" s="1810">
        <f t="shared" si="3"/>
        <v>1</v>
      </c>
      <c r="AB42" s="1810">
        <f t="shared" si="4"/>
        <v>1</v>
      </c>
      <c r="AC42" s="1810">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10"/>
      <c r="Q43" s="1809" t="str">
        <f t="shared" si="11"/>
        <v>内部装修维护情况</v>
      </c>
      <c r="R43" s="774" t="s">
        <v>17</v>
      </c>
      <c r="S43" s="775">
        <f t="shared" si="12"/>
        <v>100</v>
      </c>
      <c r="T43" s="774" t="s">
        <v>17</v>
      </c>
      <c r="U43" s="775">
        <f t="shared" si="13"/>
        <v>100</v>
      </c>
      <c r="V43" s="774" t="s">
        <v>17</v>
      </c>
      <c r="W43" s="775">
        <f t="shared" si="14"/>
        <v>100</v>
      </c>
      <c r="X43" s="1812"/>
      <c r="Y43" s="3212"/>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0"/>
      <c r="Q44" s="1794">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0"/>
      <c r="Q45" s="1809">
        <f t="shared" si="11"/>
        <v>111</v>
      </c>
      <c r="R45" s="774" t="s">
        <v>17</v>
      </c>
      <c r="S45" s="775">
        <f t="shared" si="12"/>
        <v>100</v>
      </c>
      <c r="T45" s="774" t="s">
        <v>17</v>
      </c>
      <c r="U45" s="775">
        <f t="shared" si="13"/>
        <v>100</v>
      </c>
      <c r="V45" s="774" t="s">
        <v>17</v>
      </c>
      <c r="W45" s="775">
        <f t="shared" si="14"/>
        <v>100</v>
      </c>
      <c r="X45" s="1812"/>
      <c r="Y45" s="3212"/>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1"/>
      <c r="Q46" s="1809">
        <f t="shared" si="11"/>
        <v>111</v>
      </c>
      <c r="R46" s="774" t="s">
        <v>17</v>
      </c>
      <c r="S46" s="775">
        <f t="shared" si="12"/>
        <v>100</v>
      </c>
      <c r="T46" s="774" t="s">
        <v>17</v>
      </c>
      <c r="U46" s="775">
        <f t="shared" si="13"/>
        <v>100</v>
      </c>
      <c r="V46" s="774" t="s">
        <v>17</v>
      </c>
      <c r="W46" s="775">
        <f t="shared" si="14"/>
        <v>100</v>
      </c>
      <c r="X46" s="1812"/>
      <c r="Y46" s="3213"/>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2"/>
      <c r="M47" s="1143"/>
      <c r="N47" s="1130"/>
      <c r="O47" s="1143"/>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2"/>
      <c r="M48" s="1143"/>
      <c r="N48" s="1130"/>
      <c r="O48" s="1143"/>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2"/>
      <c r="M49" s="1143"/>
      <c r="N49" s="1130"/>
      <c r="O49" s="1143"/>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2547</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2679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2562</v>
      </c>
      <c r="B100" s="528" t="s">
        <v>2680</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2615</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2617</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2681</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2682</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2683</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2684</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2685</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IF(C2="——",ROUND(C50*D3/10000,0),ROUND(C50*D3/10000,0)-D2)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54" t="s">
        <v>2650</v>
      </c>
      <c r="Q4" s="3255"/>
      <c r="R4" s="3258" t="s">
        <v>2646</v>
      </c>
      <c r="S4" s="3259"/>
      <c r="T4" s="3258" t="s">
        <v>2647</v>
      </c>
      <c r="U4" s="3259"/>
      <c r="V4" s="3260" t="s">
        <v>2648</v>
      </c>
      <c r="W4" s="3260"/>
      <c r="X4" s="2672"/>
      <c r="Y4" s="3258" t="s">
        <v>2650</v>
      </c>
      <c r="Z4" s="3259"/>
      <c r="AA4" s="3262" t="s">
        <v>2646</v>
      </c>
      <c r="AB4" s="3262" t="s">
        <v>2647</v>
      </c>
      <c r="AC4" s="3251" t="s">
        <v>2648</v>
      </c>
    </row>
    <row r="5" spans="1:29" ht="15">
      <c r="A5" s="404"/>
      <c r="B5" s="405"/>
      <c r="C5" s="3239" t="s">
        <v>2541</v>
      </c>
      <c r="D5" s="3240"/>
      <c r="E5" s="3246" t="s">
        <v>2542</v>
      </c>
      <c r="F5" s="3247"/>
      <c r="G5" s="3239" t="s">
        <v>2543</v>
      </c>
      <c r="H5" s="3240"/>
      <c r="I5" s="3239" t="s">
        <v>2544</v>
      </c>
      <c r="J5" s="3240"/>
      <c r="K5" s="610"/>
      <c r="L5" s="1129"/>
      <c r="M5" s="1130"/>
      <c r="N5" s="1130"/>
      <c r="O5" s="1130"/>
      <c r="P5" s="3256"/>
      <c r="Q5" s="3227"/>
      <c r="R5" s="3232"/>
      <c r="S5" s="3233"/>
      <c r="T5" s="3232"/>
      <c r="U5" s="3233"/>
      <c r="V5" s="3236"/>
      <c r="W5" s="3236"/>
      <c r="X5" s="1812"/>
      <c r="Y5" s="3232"/>
      <c r="Z5" s="3233"/>
      <c r="AA5" s="3218"/>
      <c r="AB5" s="3218"/>
      <c r="AC5" s="3252"/>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57"/>
      <c r="Q6" s="3229"/>
      <c r="R6" s="3232"/>
      <c r="S6" s="3233"/>
      <c r="T6" s="3234"/>
      <c r="U6" s="3235"/>
      <c r="V6" s="3236"/>
      <c r="W6" s="3236"/>
      <c r="X6" s="1812"/>
      <c r="Y6" s="3234"/>
      <c r="Z6" s="3235"/>
      <c r="AA6" s="3219"/>
      <c r="AB6" s="3219"/>
      <c r="AC6" s="3253"/>
    </row>
    <row r="7" spans="1:29" s="117" customFormat="1" ht="15.75" thickBot="1">
      <c r="A7" s="408" t="s">
        <v>2547</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1" t="s">
        <v>2551</v>
      </c>
      <c r="Q8" s="3242"/>
      <c r="R8" s="770" t="s">
        <v>17</v>
      </c>
      <c r="S8" s="771">
        <f t="shared" si="0"/>
        <v>0</v>
      </c>
      <c r="T8" s="770" t="s">
        <v>17</v>
      </c>
      <c r="U8" s="771">
        <f t="shared" si="1"/>
        <v>0</v>
      </c>
      <c r="V8" s="770" t="s">
        <v>17</v>
      </c>
      <c r="W8" s="771">
        <f t="shared" si="2"/>
        <v>0</v>
      </c>
      <c r="X8" s="772"/>
      <c r="Y8" s="3241" t="s">
        <v>2551</v>
      </c>
      <c r="Z8" s="3242"/>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6"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6"/>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216"/>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216"/>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216"/>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14" t="s">
        <v>2559</v>
      </c>
      <c r="Q15" s="1809" t="str">
        <f t="shared" si="6"/>
        <v>办公集聚程度</v>
      </c>
      <c r="R15" s="774" t="s">
        <v>17</v>
      </c>
      <c r="S15" s="775">
        <f t="shared" si="0"/>
        <v>100</v>
      </c>
      <c r="T15" s="774" t="s">
        <v>17</v>
      </c>
      <c r="U15" s="775">
        <f t="shared" si="1"/>
        <v>100</v>
      </c>
      <c r="V15" s="774" t="s">
        <v>17</v>
      </c>
      <c r="W15" s="775">
        <f t="shared" si="2"/>
        <v>100</v>
      </c>
      <c r="X15" s="1812"/>
      <c r="Y15" s="3207" t="s">
        <v>2559</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39"/>
      <c r="M16" s="1130"/>
      <c r="N16" s="1130"/>
      <c r="O16" s="1130"/>
      <c r="P16" s="3215"/>
      <c r="Q16" s="1809"/>
      <c r="R16" s="774"/>
      <c r="S16" s="775"/>
      <c r="T16" s="774"/>
      <c r="U16" s="775"/>
      <c r="V16" s="774"/>
      <c r="W16" s="775"/>
      <c r="X16" s="1812"/>
      <c r="Y16" s="3208"/>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15"/>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39"/>
      <c r="M18" s="1130"/>
      <c r="N18" s="1130"/>
      <c r="O18" s="1130"/>
      <c r="P18" s="3215"/>
      <c r="Q18" s="1809"/>
      <c r="R18" s="774"/>
      <c r="S18" s="775"/>
      <c r="T18" s="774"/>
      <c r="U18" s="775"/>
      <c r="V18" s="774"/>
      <c r="W18" s="775"/>
      <c r="X18" s="1812"/>
      <c r="Y18" s="3208"/>
      <c r="Z18" s="1813"/>
      <c r="AA18" s="1810">
        <v>1</v>
      </c>
      <c r="AB18" s="1810">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15"/>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39"/>
      <c r="M20" s="1130"/>
      <c r="N20" s="1130"/>
      <c r="O20" s="1130"/>
      <c r="P20" s="3215"/>
      <c r="Q20" s="1809"/>
      <c r="R20" s="774"/>
      <c r="S20" s="775"/>
      <c r="T20" s="774"/>
      <c r="U20" s="775"/>
      <c r="V20" s="774"/>
      <c r="W20" s="775"/>
      <c r="X20" s="1812"/>
      <c r="Y20" s="3208"/>
      <c r="Z20" s="1813"/>
      <c r="AA20" s="1810">
        <v>1</v>
      </c>
      <c r="AB20" s="1810">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15"/>
      <c r="Q22" s="1809"/>
      <c r="R22" s="774"/>
      <c r="S22" s="775"/>
      <c r="T22" s="774"/>
      <c r="U22" s="775"/>
      <c r="V22" s="774"/>
      <c r="W22" s="775"/>
      <c r="X22" s="1812"/>
      <c r="Y22" s="3208"/>
      <c r="Z22" s="1813"/>
      <c r="AA22" s="1810">
        <v>1</v>
      </c>
      <c r="AB22" s="1810">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15"/>
      <c r="Q23" s="1809" t="str">
        <f>B23</f>
        <v>环境质量</v>
      </c>
      <c r="R23" s="774" t="s">
        <v>17</v>
      </c>
      <c r="S23" s="775">
        <f>F23</f>
        <v>100</v>
      </c>
      <c r="T23" s="774" t="s">
        <v>17</v>
      </c>
      <c r="U23" s="775">
        <f>H23</f>
        <v>100</v>
      </c>
      <c r="V23" s="774" t="s">
        <v>17</v>
      </c>
      <c r="W23" s="775">
        <f>J23</f>
        <v>100</v>
      </c>
      <c r="X23" s="1812"/>
      <c r="Y23" s="3208"/>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39"/>
      <c r="M24" s="1130"/>
      <c r="N24" s="1130"/>
      <c r="O24" s="1130"/>
      <c r="P24" s="3215"/>
      <c r="Q24" s="1809"/>
      <c r="R24" s="774"/>
      <c r="S24" s="775"/>
      <c r="T24" s="774"/>
      <c r="U24" s="775"/>
      <c r="V24" s="774"/>
      <c r="W24" s="775"/>
      <c r="X24" s="1812"/>
      <c r="Y24" s="3208"/>
      <c r="Z24" s="1813"/>
      <c r="AA24" s="1810">
        <v>1</v>
      </c>
      <c r="AB24" s="1810">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15"/>
      <c r="Q25" s="1809" t="str">
        <f>B25</f>
        <v>毗邻道路的类型与等级</v>
      </c>
      <c r="R25" s="774" t="s">
        <v>17</v>
      </c>
      <c r="S25" s="775">
        <f>F25</f>
        <v>100</v>
      </c>
      <c r="T25" s="774" t="s">
        <v>17</v>
      </c>
      <c r="U25" s="775">
        <f>H25</f>
        <v>100</v>
      </c>
      <c r="V25" s="774" t="s">
        <v>17</v>
      </c>
      <c r="W25" s="775">
        <f>J25</f>
        <v>100</v>
      </c>
      <c r="X25" s="1812"/>
      <c r="Y25" s="3208"/>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15"/>
      <c r="Q26" s="1809"/>
      <c r="R26" s="774"/>
      <c r="S26" s="775"/>
      <c r="T26" s="774"/>
      <c r="U26" s="775"/>
      <c r="V26" s="774"/>
      <c r="W26" s="775"/>
      <c r="X26" s="1812"/>
      <c r="Y26" s="3208"/>
      <c r="Z26" s="1813"/>
      <c r="AA26" s="1810">
        <v>1</v>
      </c>
      <c r="AB26" s="1810">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15"/>
      <c r="Q27" s="1809" t="str">
        <f t="shared" ref="Q27:Q47" si="11">B27</f>
        <v>楼层</v>
      </c>
      <c r="R27" s="774" t="s">
        <v>17</v>
      </c>
      <c r="S27" s="775">
        <f>F27</f>
        <v>100</v>
      </c>
      <c r="T27" s="774" t="s">
        <v>17</v>
      </c>
      <c r="U27" s="775">
        <f>H27</f>
        <v>100</v>
      </c>
      <c r="V27" s="774" t="s">
        <v>17</v>
      </c>
      <c r="W27" s="775">
        <f>J27</f>
        <v>100</v>
      </c>
      <c r="X27" s="1812"/>
      <c r="Y27" s="3208"/>
      <c r="Z27" s="1813" t="str">
        <f>Q27</f>
        <v>楼层</v>
      </c>
      <c r="AA27" s="1810">
        <f t="shared" si="3"/>
        <v>1</v>
      </c>
      <c r="AB27" s="1810">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15"/>
      <c r="Q28" s="1794" t="str">
        <f t="shared" si="11"/>
        <v>朝向</v>
      </c>
      <c r="R28" s="770" t="s">
        <v>17</v>
      </c>
      <c r="S28" s="771">
        <f>F28</f>
        <v>100</v>
      </c>
      <c r="T28" s="770" t="s">
        <v>17</v>
      </c>
      <c r="U28" s="771">
        <f>H28</f>
        <v>100</v>
      </c>
      <c r="V28" s="770" t="s">
        <v>17</v>
      </c>
      <c r="W28" s="771">
        <f>J28</f>
        <v>100</v>
      </c>
      <c r="X28" s="772"/>
      <c r="Y28" s="3208"/>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15"/>
      <c r="Q29" s="1809">
        <f t="shared" si="11"/>
        <v>111</v>
      </c>
      <c r="R29" s="774" t="s">
        <v>17</v>
      </c>
      <c r="S29" s="775">
        <f t="shared" ref="S29:S47" si="12">F29</f>
        <v>100</v>
      </c>
      <c r="T29" s="774" t="s">
        <v>17</v>
      </c>
      <c r="U29" s="775">
        <f t="shared" ref="U29:U47" si="13">H29</f>
        <v>100</v>
      </c>
      <c r="V29" s="774" t="s">
        <v>17</v>
      </c>
      <c r="W29" s="775">
        <f t="shared" ref="W29:W47" si="14">J29</f>
        <v>100</v>
      </c>
      <c r="X29" s="1812"/>
      <c r="Y29" s="3208"/>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15"/>
      <c r="Q30" s="1809">
        <f t="shared" si="11"/>
        <v>111</v>
      </c>
      <c r="R30" s="774" t="s">
        <v>17</v>
      </c>
      <c r="S30" s="775">
        <f t="shared" si="12"/>
        <v>100</v>
      </c>
      <c r="T30" s="774" t="s">
        <v>17</v>
      </c>
      <c r="U30" s="775">
        <f t="shared" si="13"/>
        <v>100</v>
      </c>
      <c r="V30" s="774" t="s">
        <v>17</v>
      </c>
      <c r="W30" s="775">
        <f t="shared" si="14"/>
        <v>100</v>
      </c>
      <c r="X30" s="1812"/>
      <c r="Y30" s="3208"/>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15"/>
      <c r="Q31" s="1809">
        <f t="shared" si="11"/>
        <v>111</v>
      </c>
      <c r="R31" s="774" t="s">
        <v>17</v>
      </c>
      <c r="S31" s="775">
        <f t="shared" si="12"/>
        <v>100</v>
      </c>
      <c r="T31" s="774" t="s">
        <v>17</v>
      </c>
      <c r="U31" s="775">
        <f t="shared" si="13"/>
        <v>100</v>
      </c>
      <c r="V31" s="774" t="s">
        <v>17</v>
      </c>
      <c r="W31" s="775">
        <f t="shared" si="14"/>
        <v>100</v>
      </c>
      <c r="X31" s="1812"/>
      <c r="Y31" s="3208"/>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15"/>
      <c r="Q32" s="1809">
        <f t="shared" si="11"/>
        <v>111</v>
      </c>
      <c r="R32" s="774" t="s">
        <v>17</v>
      </c>
      <c r="S32" s="775">
        <f t="shared" si="12"/>
        <v>100</v>
      </c>
      <c r="T32" s="774" t="s">
        <v>17</v>
      </c>
      <c r="U32" s="775">
        <f t="shared" si="13"/>
        <v>100</v>
      </c>
      <c r="V32" s="774" t="s">
        <v>17</v>
      </c>
      <c r="W32" s="775">
        <f t="shared" si="14"/>
        <v>100</v>
      </c>
      <c r="X32" s="1812"/>
      <c r="Y32" s="3208"/>
      <c r="Z32" s="1813">
        <f t="shared" si="15"/>
        <v>111</v>
      </c>
      <c r="AA32" s="1810">
        <f t="shared" si="3"/>
        <v>1</v>
      </c>
      <c r="AB32" s="1810">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09" t="s">
        <v>2564</v>
      </c>
      <c r="Q33" s="1809" t="str">
        <f t="shared" si="11"/>
        <v>建筑类型</v>
      </c>
      <c r="R33" s="774" t="s">
        <v>17</v>
      </c>
      <c r="S33" s="775">
        <f t="shared" si="12"/>
        <v>100</v>
      </c>
      <c r="T33" s="774" t="s">
        <v>17</v>
      </c>
      <c r="U33" s="775">
        <f t="shared" si="13"/>
        <v>100</v>
      </c>
      <c r="V33" s="774" t="s">
        <v>17</v>
      </c>
      <c r="W33" s="775">
        <f t="shared" si="14"/>
        <v>100</v>
      </c>
      <c r="X33" s="1812"/>
      <c r="Y33" s="3212" t="s">
        <v>2564</v>
      </c>
      <c r="Z33" s="1813" t="str">
        <f t="shared" si="15"/>
        <v>建筑类型</v>
      </c>
      <c r="AA33" s="1810">
        <f t="shared" si="3"/>
        <v>1</v>
      </c>
      <c r="AB33" s="1810">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0" t="e">
        <f t="shared" si="3"/>
        <v>#N/A</v>
      </c>
      <c r="AB34" s="1810"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0"/>
      <c r="Q35" s="1809" t="str">
        <f t="shared" si="11"/>
        <v>建筑结构</v>
      </c>
      <c r="R35" s="774" t="s">
        <v>17</v>
      </c>
      <c r="S35" s="775">
        <f t="shared" si="12"/>
        <v>100</v>
      </c>
      <c r="T35" s="774" t="s">
        <v>17</v>
      </c>
      <c r="U35" s="775">
        <f t="shared" si="13"/>
        <v>100</v>
      </c>
      <c r="V35" s="774" t="s">
        <v>17</v>
      </c>
      <c r="W35" s="775">
        <f t="shared" si="14"/>
        <v>100</v>
      </c>
      <c r="X35" s="1812"/>
      <c r="Y35" s="3212"/>
      <c r="Z35" s="1813" t="str">
        <f t="shared" si="15"/>
        <v>建筑结构</v>
      </c>
      <c r="AA35" s="1810">
        <f t="shared" si="3"/>
        <v>1</v>
      </c>
      <c r="AB35" s="1810">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0"/>
      <c r="Q36" s="1809" t="str">
        <f t="shared" si="11"/>
        <v>公共部分装修</v>
      </c>
      <c r="R36" s="774" t="s">
        <v>17</v>
      </c>
      <c r="S36" s="775">
        <f t="shared" si="12"/>
        <v>100</v>
      </c>
      <c r="T36" s="774" t="s">
        <v>17</v>
      </c>
      <c r="U36" s="775">
        <f t="shared" si="13"/>
        <v>100</v>
      </c>
      <c r="V36" s="774" t="s">
        <v>17</v>
      </c>
      <c r="W36" s="775">
        <f t="shared" si="14"/>
        <v>100</v>
      </c>
      <c r="X36" s="1812"/>
      <c r="Y36" s="3212"/>
      <c r="Z36" s="1813" t="str">
        <f t="shared" si="15"/>
        <v>公共部分装修</v>
      </c>
      <c r="AA36" s="1810">
        <f t="shared" si="3"/>
        <v>1</v>
      </c>
      <c r="AB36" s="1810">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0"/>
      <c r="Q37" s="1809" t="str">
        <f t="shared" si="11"/>
        <v>成新度</v>
      </c>
      <c r="R37" s="774" t="s">
        <v>17</v>
      </c>
      <c r="S37" s="775" t="e">
        <f t="shared" si="12"/>
        <v>#N/A</v>
      </c>
      <c r="T37" s="774" t="s">
        <v>17</v>
      </c>
      <c r="U37" s="775" t="e">
        <f t="shared" si="13"/>
        <v>#N/A</v>
      </c>
      <c r="V37" s="774" t="s">
        <v>17</v>
      </c>
      <c r="W37" s="775" t="e">
        <f t="shared" si="14"/>
        <v>#N/A</v>
      </c>
      <c r="X37" s="1812"/>
      <c r="Y37" s="3212"/>
      <c r="Z37" s="1813" t="str">
        <f t="shared" si="15"/>
        <v>成新度</v>
      </c>
      <c r="AA37" s="1810" t="e">
        <f t="shared" si="3"/>
        <v>#N/A</v>
      </c>
      <c r="AB37" s="1810"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0"/>
      <c r="Q38" s="1794"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0" t="s">
        <v>2564</v>
      </c>
      <c r="Q39" s="1809" t="str">
        <f t="shared" si="11"/>
        <v>物业管理</v>
      </c>
      <c r="R39" s="774" t="s">
        <v>17</v>
      </c>
      <c r="S39" s="775">
        <f t="shared" si="12"/>
        <v>100</v>
      </c>
      <c r="T39" s="774" t="s">
        <v>17</v>
      </c>
      <c r="U39" s="775">
        <f t="shared" si="13"/>
        <v>100</v>
      </c>
      <c r="V39" s="774" t="s">
        <v>17</v>
      </c>
      <c r="W39" s="775">
        <f t="shared" si="14"/>
        <v>100</v>
      </c>
      <c r="X39" s="1812"/>
      <c r="Y39" s="3212" t="s">
        <v>2564</v>
      </c>
      <c r="Z39" s="1813" t="str">
        <f t="shared" si="15"/>
        <v>物业管理</v>
      </c>
      <c r="AA39" s="1810">
        <f t="shared" si="3"/>
        <v>1</v>
      </c>
      <c r="AB39" s="1810">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0"/>
      <c r="Q40" s="1809" t="str">
        <f t="shared" si="11"/>
        <v>市政基础设施</v>
      </c>
      <c r="R40" s="774" t="s">
        <v>17</v>
      </c>
      <c r="S40" s="775">
        <f t="shared" si="12"/>
        <v>100</v>
      </c>
      <c r="T40" s="774" t="s">
        <v>17</v>
      </c>
      <c r="U40" s="775">
        <f t="shared" si="13"/>
        <v>100</v>
      </c>
      <c r="V40" s="774" t="s">
        <v>17</v>
      </c>
      <c r="W40" s="775">
        <f t="shared" si="14"/>
        <v>100</v>
      </c>
      <c r="X40" s="1812"/>
      <c r="Y40" s="3212"/>
      <c r="Z40" s="1813" t="str">
        <f t="shared" si="15"/>
        <v>市政基础设施</v>
      </c>
      <c r="AA40" s="1810">
        <f t="shared" si="3"/>
        <v>1</v>
      </c>
      <c r="AB40" s="1810">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0"/>
      <c r="Q41" s="1809" t="str">
        <f t="shared" si="11"/>
        <v>层高</v>
      </c>
      <c r="R41" s="774" t="s">
        <v>17</v>
      </c>
      <c r="S41" s="775">
        <f t="shared" si="12"/>
        <v>100</v>
      </c>
      <c r="T41" s="774" t="s">
        <v>17</v>
      </c>
      <c r="U41" s="775">
        <f t="shared" si="13"/>
        <v>100</v>
      </c>
      <c r="V41" s="774" t="s">
        <v>17</v>
      </c>
      <c r="W41" s="775">
        <f t="shared" si="14"/>
        <v>100</v>
      </c>
      <c r="X41" s="1812"/>
      <c r="Y41" s="3212"/>
      <c r="Z41" s="1813" t="str">
        <f t="shared" si="15"/>
        <v>层高</v>
      </c>
      <c r="AA41" s="1810">
        <f t="shared" si="3"/>
        <v>1</v>
      </c>
      <c r="AB41" s="1810">
        <f t="shared" si="4"/>
        <v>1</v>
      </c>
      <c r="AC41" s="2676">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0">
        <f t="shared" si="3"/>
        <v>1</v>
      </c>
      <c r="AB42" s="1810">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0"/>
      <c r="Q43" s="1809" t="str">
        <f t="shared" si="11"/>
        <v>内部装修</v>
      </c>
      <c r="R43" s="774" t="s">
        <v>17</v>
      </c>
      <c r="S43" s="775">
        <f t="shared" si="12"/>
        <v>100</v>
      </c>
      <c r="T43" s="774" t="s">
        <v>17</v>
      </c>
      <c r="U43" s="775">
        <f t="shared" si="13"/>
        <v>100</v>
      </c>
      <c r="V43" s="774" t="s">
        <v>17</v>
      </c>
      <c r="W43" s="775">
        <f t="shared" si="14"/>
        <v>100</v>
      </c>
      <c r="X43" s="1812"/>
      <c r="Y43" s="3212"/>
      <c r="Z43" s="1813" t="str">
        <f t="shared" si="15"/>
        <v>内部装修</v>
      </c>
      <c r="AA43" s="1810">
        <f t="shared" si="3"/>
        <v>1</v>
      </c>
      <c r="AB43" s="1810">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10"/>
      <c r="Q44" s="1809" t="str">
        <f t="shared" si="11"/>
        <v>内部装修维护情况</v>
      </c>
      <c r="R44" s="774" t="s">
        <v>17</v>
      </c>
      <c r="S44" s="775">
        <f t="shared" si="12"/>
        <v>100</v>
      </c>
      <c r="T44" s="774" t="s">
        <v>17</v>
      </c>
      <c r="U44" s="775">
        <f t="shared" si="13"/>
        <v>100</v>
      </c>
      <c r="V44" s="774" t="s">
        <v>17</v>
      </c>
      <c r="W44" s="775">
        <f t="shared" si="14"/>
        <v>100</v>
      </c>
      <c r="X44" s="1812"/>
      <c r="Y44" s="3212"/>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0"/>
      <c r="Q45" s="1794">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0"/>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1"/>
      <c r="Q47" s="1809">
        <f t="shared" si="11"/>
        <v>111</v>
      </c>
      <c r="R47" s="774" t="s">
        <v>17</v>
      </c>
      <c r="S47" s="775">
        <f t="shared" si="12"/>
        <v>100</v>
      </c>
      <c r="T47" s="774" t="s">
        <v>17</v>
      </c>
      <c r="U47" s="775">
        <f t="shared" si="13"/>
        <v>100</v>
      </c>
      <c r="V47" s="774" t="s">
        <v>17</v>
      </c>
      <c r="W47" s="775">
        <f t="shared" si="14"/>
        <v>100</v>
      </c>
      <c r="X47" s="1812"/>
      <c r="Y47" s="3213"/>
      <c r="Z47" s="1813">
        <f t="shared" si="15"/>
        <v>111</v>
      </c>
      <c r="AA47" s="1810">
        <f t="shared" si="3"/>
        <v>1</v>
      </c>
      <c r="AB47" s="1810">
        <f t="shared" si="4"/>
        <v>1</v>
      </c>
      <c r="AC47" s="2676">
        <f t="shared" si="5"/>
        <v>1</v>
      </c>
    </row>
    <row r="48" spans="1:29" ht="15">
      <c r="A48" s="479" t="s">
        <v>2576</v>
      </c>
      <c r="B48" s="480"/>
      <c r="C48" s="1406" t="s">
        <v>1</v>
      </c>
      <c r="D48" s="1407"/>
      <c r="E48" s="1408"/>
      <c r="F48" s="1409"/>
      <c r="G48" s="1410"/>
      <c r="H48" s="1411"/>
      <c r="I48" s="1408"/>
      <c r="J48" s="485"/>
      <c r="K48" s="783"/>
      <c r="L48" s="1142"/>
      <c r="M48" s="1130"/>
      <c r="N48" s="1130"/>
      <c r="O48" s="1130"/>
      <c r="P48" s="3216"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4"/>
      <c r="L49" s="1142"/>
      <c r="M49" s="1130"/>
      <c r="N49" s="1130"/>
      <c r="O49" s="1130"/>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5"/>
      <c r="L50" s="1142"/>
      <c r="M50" s="1130"/>
      <c r="N50" s="1130"/>
      <c r="O50" s="1130"/>
      <c r="P50" s="3248" t="str">
        <f>A50</f>
        <v>估价对象XX用房的比较价值（楼面单价，元/平方米）</v>
      </c>
      <c r="Q50" s="3249"/>
      <c r="R50" s="3250" t="e">
        <f>IF(F1="售价",ROUND(AVERAGE(R49:V49),0),ROUND(AVERAGE(R49:V49),1))</f>
        <v>#DIV/0!</v>
      </c>
      <c r="S50" s="3250"/>
      <c r="T50" s="3250"/>
      <c r="U50" s="3250"/>
      <c r="V50" s="3250"/>
      <c r="W50" s="3250"/>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2673</v>
      </c>
      <c r="B58" s="759"/>
      <c r="C58" s="764"/>
      <c r="D58" s="764"/>
      <c r="E58" s="764"/>
      <c r="F58" s="765"/>
      <c r="G58" s="765"/>
      <c r="H58" s="764"/>
      <c r="I58" s="764"/>
      <c r="J58" s="764"/>
      <c r="K58" s="766"/>
      <c r="L58" s="1160"/>
      <c r="M58" s="1158"/>
      <c r="N58" s="1158"/>
      <c r="O58" s="1158"/>
      <c r="P58" s="2683"/>
      <c r="Q58" s="504"/>
    </row>
    <row r="59" spans="1:29" s="508" customFormat="1" ht="15">
      <c r="A59" s="505" t="s">
        <v>2547</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2587</v>
      </c>
      <c r="B64" s="528" t="s">
        <v>2553</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2698</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2562</v>
      </c>
      <c r="B101" s="528" t="s">
        <v>2611</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2613</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2615</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2699</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2616</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2617</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2700</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2683</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2619</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2701</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IF(C2="——",ROUND(C43*D3/10000,0),ROUND(C43*D3/10000,0)-D2)</f>
        <v>#DIV/0!</v>
      </c>
      <c r="C2" s="2588"/>
      <c r="D2" s="1123"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140932.81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5"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7" t="s">
        <v>2559</v>
      </c>
      <c r="Q15" s="1809" t="str">
        <f t="shared" si="6"/>
        <v>产业集聚程度</v>
      </c>
      <c r="R15" s="774" t="s">
        <v>17</v>
      </c>
      <c r="S15" s="775">
        <f t="shared" si="0"/>
        <v>100</v>
      </c>
      <c r="T15" s="774" t="s">
        <v>17</v>
      </c>
      <c r="U15" s="775">
        <f t="shared" si="1"/>
        <v>100</v>
      </c>
      <c r="V15" s="774" t="s">
        <v>17</v>
      </c>
      <c r="W15" s="775">
        <f t="shared" si="2"/>
        <v>100</v>
      </c>
      <c r="X15" s="1812"/>
      <c r="Y15" s="3207"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08"/>
      <c r="Q16" s="1809"/>
      <c r="R16" s="774"/>
      <c r="S16" s="775"/>
      <c r="T16" s="774"/>
      <c r="U16" s="775"/>
      <c r="V16" s="774"/>
      <c r="W16" s="775"/>
      <c r="X16" s="1812"/>
      <c r="Y16" s="3208"/>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8"/>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08"/>
      <c r="Q18" s="1809"/>
      <c r="R18" s="774"/>
      <c r="S18" s="775"/>
      <c r="T18" s="774"/>
      <c r="U18" s="775"/>
      <c r="V18" s="774"/>
      <c r="W18" s="775"/>
      <c r="X18" s="1812"/>
      <c r="Y18" s="3208"/>
      <c r="Z18" s="1813"/>
      <c r="AA18" s="1810">
        <v>1</v>
      </c>
      <c r="AB18" s="1810">
        <v>1</v>
      </c>
      <c r="AC18" s="1810">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8"/>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08"/>
      <c r="Q20" s="1809"/>
      <c r="R20" s="774"/>
      <c r="S20" s="775"/>
      <c r="T20" s="774"/>
      <c r="U20" s="775"/>
      <c r="V20" s="774"/>
      <c r="W20" s="775"/>
      <c r="X20" s="1812"/>
      <c r="Y20" s="3208"/>
      <c r="Z20" s="1813"/>
      <c r="AA20" s="1810">
        <v>1</v>
      </c>
      <c r="AB20" s="1810">
        <v>1</v>
      </c>
      <c r="AC20" s="1810">
        <v>1</v>
      </c>
    </row>
    <row r="21" spans="1:29" ht="28.5">
      <c r="A21" s="428"/>
      <c r="B21" s="1383"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8"/>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08"/>
      <c r="Q22" s="1809"/>
      <c r="R22" s="774"/>
      <c r="S22" s="775"/>
      <c r="T22" s="774"/>
      <c r="U22" s="775"/>
      <c r="V22" s="774"/>
      <c r="W22" s="775"/>
      <c r="X22" s="1812"/>
      <c r="Y22" s="3208"/>
      <c r="Z22" s="1813"/>
      <c r="AA22" s="1810">
        <v>1</v>
      </c>
      <c r="AB22" s="1810">
        <v>1</v>
      </c>
      <c r="AC22" s="1810">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8"/>
      <c r="Q23" s="1809" t="str">
        <f>B23</f>
        <v>环境质量</v>
      </c>
      <c r="R23" s="774" t="s">
        <v>17</v>
      </c>
      <c r="S23" s="775">
        <f>F23</f>
        <v>100</v>
      </c>
      <c r="T23" s="774" t="s">
        <v>17</v>
      </c>
      <c r="U23" s="775">
        <f>H23</f>
        <v>100</v>
      </c>
      <c r="V23" s="774" t="s">
        <v>17</v>
      </c>
      <c r="W23" s="775">
        <f>J23</f>
        <v>100</v>
      </c>
      <c r="X23" s="1812"/>
      <c r="Y23" s="3208"/>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08"/>
      <c r="Q24" s="1809"/>
      <c r="R24" s="774"/>
      <c r="S24" s="775"/>
      <c r="T24" s="774"/>
      <c r="U24" s="775"/>
      <c r="V24" s="774"/>
      <c r="W24" s="775"/>
      <c r="X24" s="1812"/>
      <c r="Y24" s="3208"/>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8"/>
      <c r="Q25" s="1809">
        <f>B25</f>
        <v>111</v>
      </c>
      <c r="R25" s="774" t="s">
        <v>17</v>
      </c>
      <c r="S25" s="775">
        <f>F25</f>
        <v>100</v>
      </c>
      <c r="T25" s="774" t="s">
        <v>17</v>
      </c>
      <c r="U25" s="775">
        <f>H25</f>
        <v>100</v>
      </c>
      <c r="V25" s="774" t="s">
        <v>17</v>
      </c>
      <c r="W25" s="775">
        <f>J25</f>
        <v>100</v>
      </c>
      <c r="X25" s="1812"/>
      <c r="Y25" s="3208"/>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8"/>
      <c r="Q26" s="1809">
        <f t="shared" ref="Q26:Q40" si="11">B26</f>
        <v>111</v>
      </c>
      <c r="R26" s="774" t="s">
        <v>17</v>
      </c>
      <c r="S26" s="775">
        <f>F26</f>
        <v>100</v>
      </c>
      <c r="T26" s="774" t="s">
        <v>17</v>
      </c>
      <c r="U26" s="775">
        <f>H26</f>
        <v>100</v>
      </c>
      <c r="V26" s="774" t="s">
        <v>17</v>
      </c>
      <c r="W26" s="775">
        <f>J26</f>
        <v>100</v>
      </c>
      <c r="X26" s="1812"/>
      <c r="Y26" s="3208"/>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8"/>
      <c r="Q27" s="1794">
        <f t="shared" si="11"/>
        <v>111</v>
      </c>
      <c r="R27" s="770" t="s">
        <v>17</v>
      </c>
      <c r="S27" s="771">
        <f>F27</f>
        <v>100</v>
      </c>
      <c r="T27" s="770" t="s">
        <v>17</v>
      </c>
      <c r="U27" s="771">
        <f>H27</f>
        <v>100</v>
      </c>
      <c r="V27" s="770" t="s">
        <v>17</v>
      </c>
      <c r="W27" s="771">
        <f>J27</f>
        <v>100</v>
      </c>
      <c r="X27" s="772"/>
      <c r="Y27" s="3208"/>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8"/>
      <c r="Q28" s="1809">
        <f t="shared" si="11"/>
        <v>111</v>
      </c>
      <c r="R28" s="774" t="s">
        <v>17</v>
      </c>
      <c r="S28" s="775">
        <f t="shared" ref="S28:S40" si="12">F28</f>
        <v>100</v>
      </c>
      <c r="T28" s="774" t="s">
        <v>17</v>
      </c>
      <c r="U28" s="775">
        <f t="shared" ref="U28:U40" si="13">H28</f>
        <v>100</v>
      </c>
      <c r="V28" s="774" t="s">
        <v>17</v>
      </c>
      <c r="W28" s="775">
        <f t="shared" ref="W28:W40" si="14">J28</f>
        <v>100</v>
      </c>
      <c r="X28" s="1812"/>
      <c r="Y28" s="3208"/>
      <c r="Z28" s="1813">
        <f t="shared" ref="Z28:Z40" si="15">Q28</f>
        <v>111</v>
      </c>
      <c r="AA28" s="1810">
        <f t="shared" si="3"/>
        <v>1</v>
      </c>
      <c r="AB28" s="1810">
        <f t="shared" si="4"/>
        <v>1</v>
      </c>
      <c r="AC28" s="1810">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3" t="s">
        <v>2564</v>
      </c>
      <c r="Q29" s="1809" t="str">
        <f t="shared" si="11"/>
        <v>建筑类型</v>
      </c>
      <c r="R29" s="774" t="s">
        <v>17</v>
      </c>
      <c r="S29" s="775">
        <f t="shared" si="12"/>
        <v>100</v>
      </c>
      <c r="T29" s="774" t="s">
        <v>17</v>
      </c>
      <c r="U29" s="775">
        <f t="shared" si="13"/>
        <v>100</v>
      </c>
      <c r="V29" s="774" t="s">
        <v>17</v>
      </c>
      <c r="W29" s="775">
        <f t="shared" si="14"/>
        <v>100</v>
      </c>
      <c r="X29" s="1812"/>
      <c r="Y29" s="3212"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2"/>
      <c r="Q31" s="1809" t="str">
        <f t="shared" si="11"/>
        <v>建筑结构</v>
      </c>
      <c r="R31" s="774" t="s">
        <v>17</v>
      </c>
      <c r="S31" s="775">
        <f t="shared" si="12"/>
        <v>100</v>
      </c>
      <c r="T31" s="774" t="s">
        <v>17</v>
      </c>
      <c r="U31" s="775">
        <f t="shared" si="13"/>
        <v>100</v>
      </c>
      <c r="V31" s="774" t="s">
        <v>17</v>
      </c>
      <c r="W31" s="775">
        <f t="shared" si="14"/>
        <v>100</v>
      </c>
      <c r="X31" s="1812"/>
      <c r="Y31" s="3212"/>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2"/>
      <c r="Q32" s="1809" t="str">
        <f t="shared" si="11"/>
        <v>公共部分装修</v>
      </c>
      <c r="R32" s="774" t="s">
        <v>17</v>
      </c>
      <c r="S32" s="775">
        <f t="shared" si="12"/>
        <v>100</v>
      </c>
      <c r="T32" s="774" t="s">
        <v>17</v>
      </c>
      <c r="U32" s="775">
        <f t="shared" si="13"/>
        <v>100</v>
      </c>
      <c r="V32" s="774" t="s">
        <v>17</v>
      </c>
      <c r="W32" s="775">
        <f t="shared" si="14"/>
        <v>100</v>
      </c>
      <c r="X32" s="1812"/>
      <c r="Y32" s="3212"/>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2"/>
      <c r="Q33" s="1809" t="str">
        <f t="shared" si="11"/>
        <v>成新度</v>
      </c>
      <c r="R33" s="774" t="s">
        <v>17</v>
      </c>
      <c r="S33" s="775" t="e">
        <f t="shared" si="12"/>
        <v>#N/A</v>
      </c>
      <c r="T33" s="774" t="s">
        <v>17</v>
      </c>
      <c r="U33" s="775" t="e">
        <f t="shared" si="13"/>
        <v>#N/A</v>
      </c>
      <c r="V33" s="774" t="s">
        <v>17</v>
      </c>
      <c r="W33" s="775" t="e">
        <f t="shared" si="14"/>
        <v>#N/A</v>
      </c>
      <c r="X33" s="1812"/>
      <c r="Y33" s="3212"/>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2"/>
      <c r="Q34" s="1794"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2" t="s">
        <v>2564</v>
      </c>
      <c r="Q35" s="1809" t="str">
        <f t="shared" si="11"/>
        <v>市政基础设施</v>
      </c>
      <c r="R35" s="774" t="s">
        <v>17</v>
      </c>
      <c r="S35" s="775">
        <f t="shared" si="12"/>
        <v>100</v>
      </c>
      <c r="T35" s="774" t="s">
        <v>17</v>
      </c>
      <c r="U35" s="775">
        <f t="shared" si="13"/>
        <v>100</v>
      </c>
      <c r="V35" s="774" t="s">
        <v>17</v>
      </c>
      <c r="W35" s="775">
        <f t="shared" si="14"/>
        <v>100</v>
      </c>
      <c r="X35" s="1812"/>
      <c r="Y35" s="3212"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2"/>
      <c r="Q36" s="1809" t="str">
        <f t="shared" si="11"/>
        <v>内部装修</v>
      </c>
      <c r="R36" s="774" t="s">
        <v>17</v>
      </c>
      <c r="S36" s="775">
        <f t="shared" si="12"/>
        <v>100</v>
      </c>
      <c r="T36" s="774" t="s">
        <v>17</v>
      </c>
      <c r="U36" s="775">
        <f t="shared" si="13"/>
        <v>100</v>
      </c>
      <c r="V36" s="774" t="s">
        <v>17</v>
      </c>
      <c r="W36" s="775">
        <f t="shared" si="14"/>
        <v>100</v>
      </c>
      <c r="X36" s="1812"/>
      <c r="Y36" s="3212"/>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2"/>
      <c r="Q37" s="1809" t="str">
        <f t="shared" si="11"/>
        <v>内部装修状况</v>
      </c>
      <c r="R37" s="774" t="s">
        <v>17</v>
      </c>
      <c r="S37" s="775">
        <f t="shared" si="12"/>
        <v>100</v>
      </c>
      <c r="T37" s="774" t="s">
        <v>17</v>
      </c>
      <c r="U37" s="775">
        <f t="shared" si="13"/>
        <v>100</v>
      </c>
      <c r="V37" s="774" t="s">
        <v>17</v>
      </c>
      <c r="W37" s="775">
        <f t="shared" si="14"/>
        <v>100</v>
      </c>
      <c r="X37" s="1812"/>
      <c r="Y37" s="3212"/>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2"/>
      <c r="Q39" s="1809">
        <f t="shared" si="11"/>
        <v>111</v>
      </c>
      <c r="R39" s="774" t="s">
        <v>17</v>
      </c>
      <c r="S39" s="775">
        <f t="shared" si="12"/>
        <v>100</v>
      </c>
      <c r="T39" s="774" t="s">
        <v>17</v>
      </c>
      <c r="U39" s="775">
        <f t="shared" si="13"/>
        <v>100</v>
      </c>
      <c r="V39" s="774" t="s">
        <v>17</v>
      </c>
      <c r="W39" s="775">
        <f t="shared" si="14"/>
        <v>100</v>
      </c>
      <c r="X39" s="1812"/>
      <c r="Y39" s="3212"/>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3"/>
      <c r="Q40" s="1809">
        <f t="shared" si="11"/>
        <v>111</v>
      </c>
      <c r="R40" s="774" t="s">
        <v>17</v>
      </c>
      <c r="S40" s="775">
        <f t="shared" si="12"/>
        <v>100</v>
      </c>
      <c r="T40" s="774" t="s">
        <v>17</v>
      </c>
      <c r="U40" s="775">
        <f t="shared" si="13"/>
        <v>100</v>
      </c>
      <c r="V40" s="774" t="s">
        <v>17</v>
      </c>
      <c r="W40" s="775">
        <f t="shared" si="14"/>
        <v>100</v>
      </c>
      <c r="X40" s="1812"/>
      <c r="Y40" s="3213"/>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2"/>
      <c r="M41" s="1143"/>
      <c r="N41" s="1130"/>
      <c r="O41" s="1143"/>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2"/>
      <c r="M42" s="1143"/>
      <c r="N42" s="1130"/>
      <c r="O42" s="1143"/>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2"/>
      <c r="M43" s="1143"/>
      <c r="N43" s="1143"/>
      <c r="O43" s="1143"/>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2673</v>
      </c>
      <c r="B51" s="759"/>
      <c r="C51" s="764"/>
      <c r="D51" s="764"/>
      <c r="E51" s="764"/>
      <c r="F51" s="765"/>
      <c r="G51" s="765"/>
      <c r="H51" s="764"/>
      <c r="I51" s="764"/>
      <c r="J51" s="764"/>
      <c r="K51" s="1159"/>
      <c r="L51" s="1160"/>
      <c r="M51" s="1158"/>
      <c r="N51" s="1158"/>
      <c r="O51" s="1158"/>
      <c r="P51" s="503"/>
      <c r="Q51" s="504"/>
    </row>
    <row r="52" spans="1:17" s="508" customFormat="1" ht="15">
      <c r="A52" s="505" t="s">
        <v>2547</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2587</v>
      </c>
      <c r="B57" s="528" t="s">
        <v>2553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2562</v>
      </c>
      <c r="B88" s="528" t="s">
        <v>2611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2329</v>
      </c>
      <c r="B2" s="1417" t="e">
        <f ca="1">IF(C2="——",IF(B37="元/平方米",ROUND(C39*D3/10000,0),ROUND(F3*C39/10000,0)),IF(B37="元/平方米",ROUND(C39*D3/10000,0),ROUND(F3*C39/10000,0))-D2)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1" t="s">
        <v>2548</v>
      </c>
      <c r="Q7" s="3243"/>
      <c r="R7" s="770" t="s">
        <v>17</v>
      </c>
      <c r="S7" s="771">
        <f t="shared" ref="S7:S14" si="0">F7</f>
        <v>0</v>
      </c>
      <c r="T7" s="770" t="s">
        <v>17</v>
      </c>
      <c r="U7" s="771">
        <f t="shared" ref="U7:U14" si="1">H7</f>
        <v>0</v>
      </c>
      <c r="V7" s="770" t="s">
        <v>17</v>
      </c>
      <c r="W7" s="771">
        <f t="shared" ref="W7:W14"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5" t="s">
        <v>2554</v>
      </c>
      <c r="Q9" s="1794"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5"/>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7" t="s">
        <v>2559</v>
      </c>
      <c r="Q14" s="1809" t="str">
        <f t="shared" si="6"/>
        <v>交通便捷度</v>
      </c>
      <c r="R14" s="774" t="s">
        <v>17</v>
      </c>
      <c r="S14" s="775">
        <f t="shared" si="0"/>
        <v>100</v>
      </c>
      <c r="T14" s="774" t="s">
        <v>17</v>
      </c>
      <c r="U14" s="775">
        <f t="shared" si="1"/>
        <v>100</v>
      </c>
      <c r="V14" s="774" t="s">
        <v>17</v>
      </c>
      <c r="W14" s="775">
        <f t="shared" si="2"/>
        <v>100</v>
      </c>
      <c r="X14" s="1812"/>
      <c r="Y14" s="3207"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08"/>
      <c r="Q15" s="1809"/>
      <c r="R15" s="774"/>
      <c r="S15" s="775"/>
      <c r="T15" s="774"/>
      <c r="U15" s="775"/>
      <c r="V15" s="774"/>
      <c r="W15" s="775"/>
      <c r="X15" s="1812"/>
      <c r="Y15" s="3208"/>
      <c r="Z15" s="1813"/>
      <c r="AA15" s="1810">
        <v>1</v>
      </c>
      <c r="AB15" s="1810">
        <v>1</v>
      </c>
      <c r="AC15" s="1810">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8"/>
      <c r="Q16" s="1809" t="str">
        <f>B16</f>
        <v>公共配套设施</v>
      </c>
      <c r="R16" s="774" t="s">
        <v>17</v>
      </c>
      <c r="S16" s="775">
        <f>F16</f>
        <v>100</v>
      </c>
      <c r="T16" s="774" t="s">
        <v>17</v>
      </c>
      <c r="U16" s="775">
        <f>H16</f>
        <v>100</v>
      </c>
      <c r="V16" s="774" t="s">
        <v>17</v>
      </c>
      <c r="W16" s="775">
        <f>J16</f>
        <v>100</v>
      </c>
      <c r="X16" s="1812"/>
      <c r="Y16" s="3208"/>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08"/>
      <c r="Q17" s="1809"/>
      <c r="R17" s="774"/>
      <c r="S17" s="775"/>
      <c r="T17" s="774"/>
      <c r="U17" s="775"/>
      <c r="V17" s="774"/>
      <c r="W17" s="775"/>
      <c r="X17" s="1812"/>
      <c r="Y17" s="3208"/>
      <c r="Z17" s="1813"/>
      <c r="AA17" s="1810">
        <v>1</v>
      </c>
      <c r="AB17" s="1810">
        <v>1</v>
      </c>
      <c r="AC17" s="1810">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8"/>
      <c r="Q18" s="1809" t="str">
        <f>B18</f>
        <v>基础设施水平</v>
      </c>
      <c r="R18" s="774" t="s">
        <v>17</v>
      </c>
      <c r="S18" s="775">
        <f>F18</f>
        <v>100</v>
      </c>
      <c r="T18" s="774" t="s">
        <v>17</v>
      </c>
      <c r="U18" s="775">
        <f>H18</f>
        <v>100</v>
      </c>
      <c r="V18" s="774" t="s">
        <v>17</v>
      </c>
      <c r="W18" s="775">
        <f>J18</f>
        <v>100</v>
      </c>
      <c r="X18" s="1812"/>
      <c r="Y18" s="3208"/>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08"/>
      <c r="Q19" s="1809"/>
      <c r="R19" s="774"/>
      <c r="S19" s="775"/>
      <c r="T19" s="774"/>
      <c r="U19" s="775"/>
      <c r="V19" s="774"/>
      <c r="W19" s="775"/>
      <c r="X19" s="1812"/>
      <c r="Y19" s="3208"/>
      <c r="Z19" s="1813"/>
      <c r="AA19" s="1810">
        <v>1</v>
      </c>
      <c r="AB19" s="1810">
        <v>1</v>
      </c>
      <c r="AC19" s="1810">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8"/>
      <c r="Q20" s="1809" t="str">
        <f>B20</f>
        <v>自然及人文环境</v>
      </c>
      <c r="R20" s="774" t="s">
        <v>17</v>
      </c>
      <c r="S20" s="775">
        <f>F20</f>
        <v>100</v>
      </c>
      <c r="T20" s="774" t="s">
        <v>17</v>
      </c>
      <c r="U20" s="775">
        <f>H20</f>
        <v>100</v>
      </c>
      <c r="V20" s="774" t="s">
        <v>17</v>
      </c>
      <c r="W20" s="775">
        <f>J20</f>
        <v>100</v>
      </c>
      <c r="X20" s="1812"/>
      <c r="Y20" s="320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08"/>
      <c r="Q21" s="1809"/>
      <c r="R21" s="774"/>
      <c r="S21" s="775"/>
      <c r="T21" s="774"/>
      <c r="U21" s="775"/>
      <c r="V21" s="774"/>
      <c r="W21" s="775"/>
      <c r="X21" s="1812"/>
      <c r="Y21" s="3208"/>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8"/>
      <c r="Q22" s="1809" t="str">
        <f>B22</f>
        <v>楼层</v>
      </c>
      <c r="R22" s="774" t="s">
        <v>17</v>
      </c>
      <c r="S22" s="775">
        <f>F22</f>
        <v>100</v>
      </c>
      <c r="T22" s="774" t="s">
        <v>17</v>
      </c>
      <c r="U22" s="775">
        <f>H22</f>
        <v>100</v>
      </c>
      <c r="V22" s="774" t="s">
        <v>17</v>
      </c>
      <c r="W22" s="775">
        <f>J22</f>
        <v>100</v>
      </c>
      <c r="X22" s="1812"/>
      <c r="Y22" s="320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8"/>
      <c r="Q23" s="1809">
        <f>B23</f>
        <v>111</v>
      </c>
      <c r="R23" s="774" t="s">
        <v>17</v>
      </c>
      <c r="S23" s="775">
        <f>F23</f>
        <v>100</v>
      </c>
      <c r="T23" s="774" t="s">
        <v>17</v>
      </c>
      <c r="U23" s="775">
        <f>H23</f>
        <v>100</v>
      </c>
      <c r="V23" s="774" t="s">
        <v>17</v>
      </c>
      <c r="W23" s="775">
        <f>J23</f>
        <v>100</v>
      </c>
      <c r="X23" s="1812"/>
      <c r="Y23" s="320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8"/>
      <c r="Q24" s="1809">
        <f t="shared" ref="Q24:Q36" si="11">B24</f>
        <v>111</v>
      </c>
      <c r="R24" s="774" t="s">
        <v>17</v>
      </c>
      <c r="S24" s="775">
        <f>F24</f>
        <v>100</v>
      </c>
      <c r="T24" s="774" t="s">
        <v>17</v>
      </c>
      <c r="U24" s="775">
        <f>H24</f>
        <v>100</v>
      </c>
      <c r="V24" s="774" t="s">
        <v>17</v>
      </c>
      <c r="W24" s="775">
        <f>J24</f>
        <v>100</v>
      </c>
      <c r="X24" s="1812"/>
      <c r="Y24" s="320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8"/>
      <c r="Q25" s="1794">
        <f t="shared" si="11"/>
        <v>111</v>
      </c>
      <c r="R25" s="770" t="s">
        <v>17</v>
      </c>
      <c r="S25" s="771">
        <f>F25</f>
        <v>100</v>
      </c>
      <c r="T25" s="770" t="s">
        <v>17</v>
      </c>
      <c r="U25" s="771">
        <f>H25</f>
        <v>100</v>
      </c>
      <c r="V25" s="770" t="s">
        <v>17</v>
      </c>
      <c r="W25" s="771">
        <f>J25</f>
        <v>100</v>
      </c>
      <c r="X25" s="772"/>
      <c r="Y25" s="3208"/>
      <c r="Z25" s="55">
        <f>Q25</f>
        <v>111</v>
      </c>
      <c r="AA25" s="1810">
        <f>D25/F25</f>
        <v>1</v>
      </c>
      <c r="AB25" s="1810">
        <f>D25/H25</f>
        <v>1</v>
      </c>
      <c r="AC25" s="1810">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3"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2"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2"/>
      <c r="Q28" s="1809" t="str">
        <f t="shared" si="11"/>
        <v>公共部分装修</v>
      </c>
      <c r="R28" s="774" t="s">
        <v>17</v>
      </c>
      <c r="S28" s="775">
        <f t="shared" si="12"/>
        <v>100</v>
      </c>
      <c r="T28" s="774" t="s">
        <v>17</v>
      </c>
      <c r="U28" s="775">
        <f t="shared" si="13"/>
        <v>100</v>
      </c>
      <c r="V28" s="774" t="s">
        <v>17</v>
      </c>
      <c r="W28" s="775">
        <f t="shared" si="14"/>
        <v>100</v>
      </c>
      <c r="X28" s="1812"/>
      <c r="Y28" s="3212"/>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2"/>
      <c r="Q29" s="1809" t="str">
        <f t="shared" si="11"/>
        <v>成新率</v>
      </c>
      <c r="R29" s="774" t="s">
        <v>17</v>
      </c>
      <c r="S29" s="775" t="e">
        <f t="shared" si="12"/>
        <v>#N/A</v>
      </c>
      <c r="T29" s="774" t="s">
        <v>17</v>
      </c>
      <c r="U29" s="775" t="e">
        <f t="shared" si="13"/>
        <v>#N/A</v>
      </c>
      <c r="V29" s="774" t="s">
        <v>17</v>
      </c>
      <c r="W29" s="775" t="e">
        <f t="shared" si="14"/>
        <v>#N/A</v>
      </c>
      <c r="X29" s="1812"/>
      <c r="Y29" s="3212"/>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2"/>
      <c r="Q30" s="1809" t="str">
        <f t="shared" si="11"/>
        <v>物业等级</v>
      </c>
      <c r="R30" s="774" t="s">
        <v>17</v>
      </c>
      <c r="S30" s="775">
        <f t="shared" si="12"/>
        <v>100</v>
      </c>
      <c r="T30" s="774" t="s">
        <v>17</v>
      </c>
      <c r="U30" s="775">
        <f t="shared" si="13"/>
        <v>100</v>
      </c>
      <c r="V30" s="774" t="s">
        <v>17</v>
      </c>
      <c r="W30" s="775">
        <f t="shared" si="14"/>
        <v>100</v>
      </c>
      <c r="X30" s="1812"/>
      <c r="Y30" s="3212"/>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2"/>
      <c r="Q31" s="1794"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2" t="s">
        <v>2564</v>
      </c>
      <c r="Q32" s="1809" t="str">
        <f t="shared" si="11"/>
        <v>车位类型</v>
      </c>
      <c r="R32" s="774" t="s">
        <v>17</v>
      </c>
      <c r="S32" s="775">
        <f t="shared" si="12"/>
        <v>100</v>
      </c>
      <c r="T32" s="774" t="s">
        <v>17</v>
      </c>
      <c r="U32" s="775">
        <f t="shared" si="13"/>
        <v>100</v>
      </c>
      <c r="V32" s="774" t="s">
        <v>17</v>
      </c>
      <c r="W32" s="775">
        <f t="shared" si="14"/>
        <v>100</v>
      </c>
      <c r="X32" s="1812"/>
      <c r="Y32" s="3212"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2"/>
      <c r="Q33" s="1809" t="str">
        <f t="shared" si="11"/>
        <v>是否直接入户</v>
      </c>
      <c r="R33" s="774" t="s">
        <v>17</v>
      </c>
      <c r="S33" s="775">
        <f t="shared" si="12"/>
        <v>100</v>
      </c>
      <c r="T33" s="774" t="s">
        <v>17</v>
      </c>
      <c r="U33" s="775">
        <f t="shared" si="13"/>
        <v>100</v>
      </c>
      <c r="V33" s="774" t="s">
        <v>17</v>
      </c>
      <c r="W33" s="775">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2"/>
      <c r="Q36" s="1809">
        <f t="shared" si="11"/>
        <v>111</v>
      </c>
      <c r="R36" s="774" t="s">
        <v>17</v>
      </c>
      <c r="S36" s="775">
        <f t="shared" si="12"/>
        <v>100</v>
      </c>
      <c r="T36" s="774" t="s">
        <v>17</v>
      </c>
      <c r="U36" s="775">
        <f t="shared" si="13"/>
        <v>100</v>
      </c>
      <c r="V36" s="774" t="s">
        <v>17</v>
      </c>
      <c r="W36" s="775">
        <f t="shared" si="14"/>
        <v>100</v>
      </c>
      <c r="X36" s="1812"/>
      <c r="Y36" s="3212"/>
      <c r="Z36" s="1813">
        <f t="shared" si="15"/>
        <v>111</v>
      </c>
      <c r="AA36" s="1810">
        <f t="shared" si="3"/>
        <v>1</v>
      </c>
      <c r="AB36" s="1810">
        <f t="shared" si="4"/>
        <v>1</v>
      </c>
      <c r="AC36" s="1810">
        <f t="shared" si="5"/>
        <v>1</v>
      </c>
    </row>
    <row r="37" spans="1:29" ht="15">
      <c r="A37" s="479" t="s">
        <v>2719</v>
      </c>
      <c r="B37" s="2697" t="s">
        <v>2720</v>
      </c>
      <c r="C37" s="1406" t="s">
        <v>1</v>
      </c>
      <c r="D37" s="1407"/>
      <c r="E37" s="1408"/>
      <c r="F37" s="1409"/>
      <c r="G37" s="1410"/>
      <c r="H37" s="1411"/>
      <c r="I37" s="1408"/>
      <c r="J37" s="1411"/>
      <c r="K37" s="619"/>
      <c r="L37" s="1142"/>
      <c r="M37" s="1143"/>
      <c r="N37" s="1130"/>
      <c r="O37" s="1143"/>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2"/>
      <c r="M39" s="1143"/>
      <c r="N39" s="1143"/>
      <c r="O39" s="1143"/>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2602</v>
      </c>
      <c r="C65" s="578" t="s">
        <v>2596</v>
      </c>
      <c r="D65" s="578" t="s">
        <v>2597</v>
      </c>
      <c r="E65" s="578" t="s">
        <v>2598</v>
      </c>
      <c r="F65" s="578" t="s">
        <v>2599</v>
      </c>
      <c r="G65" s="578" t="s">
        <v>2600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2688</v>
      </c>
      <c r="C67" s="660" t="s">
        <v>2674</v>
      </c>
      <c r="D67" s="660" t="s">
        <v>2675</v>
      </c>
      <c r="E67" s="660" t="s">
        <v>2676</v>
      </c>
      <c r="F67" s="660" t="s">
        <v>2677</v>
      </c>
      <c r="G67" s="660" t="s">
        <v>2678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2608</v>
      </c>
      <c r="C69" s="578" t="s">
        <v>2596</v>
      </c>
      <c r="D69" s="578" t="s">
        <v>2597</v>
      </c>
      <c r="E69" s="578" t="s">
        <v>2598</v>
      </c>
      <c r="F69" s="578" t="s">
        <v>2599</v>
      </c>
      <c r="G69" s="578" t="s">
        <v>2600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估价对象为北京市出让国有建设用地使用权及在建建筑物房地产，为所有。根据《国有土地使用证》[]，估价对象（分摊）出让国有建设用地使用权面积为22165.75平方米，建筑面积为140932.81平方米。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IF(C2="——",ROUND(C37*D3/10000,0),ROUND(C37*D3/10000,0)-D2)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41" t="s">
        <v>2548</v>
      </c>
      <c r="Q7" s="3243"/>
      <c r="R7" s="770" t="s">
        <v>17</v>
      </c>
      <c r="S7" s="771">
        <f t="shared" ref="S7:S14" si="0">F7</f>
        <v>0</v>
      </c>
      <c r="T7" s="770" t="s">
        <v>17</v>
      </c>
      <c r="U7" s="771">
        <f t="shared" ref="U7:U14" si="1">H7</f>
        <v>0</v>
      </c>
      <c r="V7" s="770" t="s">
        <v>17</v>
      </c>
      <c r="W7" s="771">
        <f t="shared" ref="W7:W14"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5" t="s">
        <v>2554</v>
      </c>
      <c r="Q9" s="1794"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5"/>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7" t="s">
        <v>2559</v>
      </c>
      <c r="Q14" s="1809" t="str">
        <f t="shared" si="6"/>
        <v>交通便捷度</v>
      </c>
      <c r="R14" s="774" t="s">
        <v>17</v>
      </c>
      <c r="S14" s="775">
        <f t="shared" si="0"/>
        <v>100</v>
      </c>
      <c r="T14" s="774" t="s">
        <v>17</v>
      </c>
      <c r="U14" s="775">
        <f t="shared" si="1"/>
        <v>100</v>
      </c>
      <c r="V14" s="774" t="s">
        <v>17</v>
      </c>
      <c r="W14" s="775">
        <f t="shared" si="2"/>
        <v>100</v>
      </c>
      <c r="X14" s="1812"/>
      <c r="Y14" s="3207"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08"/>
      <c r="Q15" s="1809"/>
      <c r="R15" s="774"/>
      <c r="S15" s="775"/>
      <c r="T15" s="774"/>
      <c r="U15" s="775"/>
      <c r="V15" s="774"/>
      <c r="W15" s="775"/>
      <c r="X15" s="1812"/>
      <c r="Y15" s="3208"/>
      <c r="Z15" s="1813"/>
      <c r="AA15" s="1810">
        <v>1</v>
      </c>
      <c r="AB15" s="1810">
        <v>1</v>
      </c>
      <c r="AC15" s="1810">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8"/>
      <c r="Q16" s="1809" t="str">
        <f>B16</f>
        <v>公共配套设施</v>
      </c>
      <c r="R16" s="774" t="s">
        <v>17</v>
      </c>
      <c r="S16" s="775">
        <f>F16</f>
        <v>100</v>
      </c>
      <c r="T16" s="774" t="s">
        <v>17</v>
      </c>
      <c r="U16" s="775">
        <f>H16</f>
        <v>100</v>
      </c>
      <c r="V16" s="774" t="s">
        <v>17</v>
      </c>
      <c r="W16" s="775">
        <f>J16</f>
        <v>100</v>
      </c>
      <c r="X16" s="1812"/>
      <c r="Y16" s="3208"/>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08"/>
      <c r="Q17" s="1809"/>
      <c r="R17" s="774"/>
      <c r="S17" s="775"/>
      <c r="T17" s="774"/>
      <c r="U17" s="775"/>
      <c r="V17" s="774"/>
      <c r="W17" s="775"/>
      <c r="X17" s="1812"/>
      <c r="Y17" s="3208"/>
      <c r="Z17" s="1813"/>
      <c r="AA17" s="1810">
        <v>1</v>
      </c>
      <c r="AB17" s="1810">
        <v>1</v>
      </c>
      <c r="AC17" s="1810">
        <v>1</v>
      </c>
    </row>
    <row r="18" spans="1:29" ht="28.5">
      <c r="A18" s="428"/>
      <c r="B18" s="1383"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8"/>
      <c r="Q18" s="1809" t="str">
        <f>B18</f>
        <v>基础设施水平</v>
      </c>
      <c r="R18" s="774" t="s">
        <v>17</v>
      </c>
      <c r="S18" s="775">
        <f>F18</f>
        <v>100</v>
      </c>
      <c r="T18" s="774" t="s">
        <v>17</v>
      </c>
      <c r="U18" s="775">
        <f>H18</f>
        <v>100</v>
      </c>
      <c r="V18" s="774" t="s">
        <v>17</v>
      </c>
      <c r="W18" s="775">
        <f>J18</f>
        <v>100</v>
      </c>
      <c r="X18" s="1812"/>
      <c r="Y18" s="3208"/>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08"/>
      <c r="Q19" s="1809"/>
      <c r="R19" s="774"/>
      <c r="S19" s="775"/>
      <c r="T19" s="774"/>
      <c r="U19" s="775"/>
      <c r="V19" s="774"/>
      <c r="W19" s="775"/>
      <c r="X19" s="1812"/>
      <c r="Y19" s="3208"/>
      <c r="Z19" s="1813"/>
      <c r="AA19" s="1810">
        <v>1</v>
      </c>
      <c r="AB19" s="1810">
        <v>1</v>
      </c>
      <c r="AC19" s="1810">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8"/>
      <c r="Q20" s="1809" t="str">
        <f>B20</f>
        <v>自然及人文环境</v>
      </c>
      <c r="R20" s="774" t="s">
        <v>17</v>
      </c>
      <c r="S20" s="775">
        <f>F20</f>
        <v>100</v>
      </c>
      <c r="T20" s="774" t="s">
        <v>17</v>
      </c>
      <c r="U20" s="775">
        <f>H20</f>
        <v>100</v>
      </c>
      <c r="V20" s="774" t="s">
        <v>17</v>
      </c>
      <c r="W20" s="775">
        <f>J20</f>
        <v>100</v>
      </c>
      <c r="X20" s="1812"/>
      <c r="Y20" s="320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08"/>
      <c r="Q21" s="1809"/>
      <c r="R21" s="774"/>
      <c r="S21" s="775"/>
      <c r="T21" s="774"/>
      <c r="U21" s="775"/>
      <c r="V21" s="774"/>
      <c r="W21" s="775"/>
      <c r="X21" s="1812"/>
      <c r="Y21" s="3208"/>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8"/>
      <c r="Q22" s="1809" t="str">
        <f>B22</f>
        <v>楼层</v>
      </c>
      <c r="R22" s="774" t="s">
        <v>17</v>
      </c>
      <c r="S22" s="775">
        <f>F22</f>
        <v>100</v>
      </c>
      <c r="T22" s="774" t="s">
        <v>17</v>
      </c>
      <c r="U22" s="775">
        <f>H22</f>
        <v>100</v>
      </c>
      <c r="V22" s="774" t="s">
        <v>17</v>
      </c>
      <c r="W22" s="775">
        <f>J22</f>
        <v>100</v>
      </c>
      <c r="X22" s="1812"/>
      <c r="Y22" s="3208"/>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8"/>
      <c r="Q23" s="1809">
        <f>B23</f>
        <v>111</v>
      </c>
      <c r="R23" s="774" t="s">
        <v>17</v>
      </c>
      <c r="S23" s="775">
        <f>F23</f>
        <v>100</v>
      </c>
      <c r="T23" s="774" t="s">
        <v>17</v>
      </c>
      <c r="U23" s="775">
        <f>H23</f>
        <v>100</v>
      </c>
      <c r="V23" s="774" t="s">
        <v>17</v>
      </c>
      <c r="W23" s="775">
        <f>J23</f>
        <v>100</v>
      </c>
      <c r="X23" s="1812"/>
      <c r="Y23" s="3208"/>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8"/>
      <c r="Q24" s="1809">
        <f t="shared" ref="Q24:Q34" si="11">B24</f>
        <v>111</v>
      </c>
      <c r="R24" s="774" t="s">
        <v>17</v>
      </c>
      <c r="S24" s="775">
        <f>F24</f>
        <v>100</v>
      </c>
      <c r="T24" s="774" t="s">
        <v>17</v>
      </c>
      <c r="U24" s="775">
        <f>H24</f>
        <v>100</v>
      </c>
      <c r="V24" s="774" t="s">
        <v>17</v>
      </c>
      <c r="W24" s="775">
        <f>J24</f>
        <v>100</v>
      </c>
      <c r="X24" s="1812"/>
      <c r="Y24" s="3208"/>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08"/>
      <c r="Q25" s="1794">
        <f t="shared" si="11"/>
        <v>111</v>
      </c>
      <c r="R25" s="770" t="s">
        <v>17</v>
      </c>
      <c r="S25" s="771">
        <f>F25</f>
        <v>100</v>
      </c>
      <c r="T25" s="770" t="s">
        <v>17</v>
      </c>
      <c r="U25" s="771">
        <f>H25</f>
        <v>100</v>
      </c>
      <c r="V25" s="770" t="s">
        <v>17</v>
      </c>
      <c r="W25" s="771">
        <f>J25</f>
        <v>100</v>
      </c>
      <c r="X25" s="772"/>
      <c r="Y25" s="3208"/>
      <c r="Z25" s="55">
        <f>Q25</f>
        <v>111</v>
      </c>
      <c r="AA25" s="1810">
        <f>D25/F25</f>
        <v>1</v>
      </c>
      <c r="AB25" s="1810">
        <f>D25/H25</f>
        <v>1</v>
      </c>
      <c r="AC25" s="1810">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3"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2"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2"/>
      <c r="Q28" s="1809" t="str">
        <f t="shared" si="11"/>
        <v>物业等级</v>
      </c>
      <c r="R28" s="774" t="s">
        <v>17</v>
      </c>
      <c r="S28" s="775">
        <f t="shared" si="12"/>
        <v>100</v>
      </c>
      <c r="T28" s="774" t="s">
        <v>17</v>
      </c>
      <c r="U28" s="775">
        <f t="shared" si="13"/>
        <v>100</v>
      </c>
      <c r="V28" s="774" t="s">
        <v>17</v>
      </c>
      <c r="W28" s="775">
        <f t="shared" si="14"/>
        <v>100</v>
      </c>
      <c r="X28" s="1812"/>
      <c r="Y28" s="3212"/>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2"/>
      <c r="Q29" s="1809" t="str">
        <f t="shared" si="11"/>
        <v>有无电梯</v>
      </c>
      <c r="R29" s="774" t="s">
        <v>17</v>
      </c>
      <c r="S29" s="775">
        <f t="shared" si="12"/>
        <v>100</v>
      </c>
      <c r="T29" s="774" t="s">
        <v>17</v>
      </c>
      <c r="U29" s="775">
        <f t="shared" si="13"/>
        <v>100</v>
      </c>
      <c r="V29" s="774" t="s">
        <v>17</v>
      </c>
      <c r="W29" s="775">
        <f t="shared" si="14"/>
        <v>100</v>
      </c>
      <c r="X29" s="1812"/>
      <c r="Y29" s="3212"/>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2"/>
      <c r="Q30" s="1809" t="str">
        <f t="shared" si="11"/>
        <v>建筑面积</v>
      </c>
      <c r="R30" s="774" t="s">
        <v>17</v>
      </c>
      <c r="S30" s="775" t="e">
        <f t="shared" si="12"/>
        <v>#N/A</v>
      </c>
      <c r="T30" s="774" t="s">
        <v>17</v>
      </c>
      <c r="U30" s="775" t="e">
        <f t="shared" si="13"/>
        <v>#N/A</v>
      </c>
      <c r="V30" s="774" t="s">
        <v>17</v>
      </c>
      <c r="W30" s="775" t="e">
        <f t="shared" si="14"/>
        <v>#N/A</v>
      </c>
      <c r="X30" s="1812"/>
      <c r="Y30" s="3212"/>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2"/>
      <c r="Q31" s="1794"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2" t="s">
        <v>2564</v>
      </c>
      <c r="Q32" s="1809">
        <f t="shared" si="11"/>
        <v>111</v>
      </c>
      <c r="R32" s="774" t="s">
        <v>17</v>
      </c>
      <c r="S32" s="775">
        <f t="shared" si="12"/>
        <v>100</v>
      </c>
      <c r="T32" s="774" t="s">
        <v>17</v>
      </c>
      <c r="U32" s="775">
        <f t="shared" si="13"/>
        <v>100</v>
      </c>
      <c r="V32" s="774" t="s">
        <v>17</v>
      </c>
      <c r="W32" s="775">
        <f t="shared" si="14"/>
        <v>100</v>
      </c>
      <c r="X32" s="1812"/>
      <c r="Y32" s="3212" t="s">
        <v>2564</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2"/>
      <c r="Q33" s="1809">
        <f t="shared" si="11"/>
        <v>111</v>
      </c>
      <c r="R33" s="774" t="s">
        <v>17</v>
      </c>
      <c r="S33" s="775">
        <f t="shared" si="12"/>
        <v>100</v>
      </c>
      <c r="T33" s="774" t="s">
        <v>17</v>
      </c>
      <c r="U33" s="775">
        <f t="shared" si="13"/>
        <v>100</v>
      </c>
      <c r="V33" s="774" t="s">
        <v>17</v>
      </c>
      <c r="W33" s="775">
        <f t="shared" si="14"/>
        <v>100</v>
      </c>
      <c r="X33" s="1812"/>
      <c r="Y33" s="3212"/>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2"/>
      <c r="M35" s="1143"/>
      <c r="N35" s="1130"/>
      <c r="O35" s="1143"/>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2"/>
      <c r="M36" s="1143"/>
      <c r="N36" s="1130"/>
      <c r="O36" s="1143"/>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2"/>
      <c r="M37" s="1143"/>
      <c r="N37" s="1143"/>
      <c r="O37" s="1143"/>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2587</v>
      </c>
      <c r="B51" s="528" t="s">
        <v>2553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2562</v>
      </c>
      <c r="B77" s="528" t="s">
        <v>2615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30"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30" ht="15.75" thickBot="1">
      <c r="A6" s="406"/>
      <c r="B6" s="407"/>
      <c r="C6" s="3237" t="s">
        <v>2545</v>
      </c>
      <c r="D6" s="3238"/>
      <c r="E6" s="3244" t="s">
        <v>2545</v>
      </c>
      <c r="F6" s="3245"/>
      <c r="G6" s="3237" t="s">
        <v>2545</v>
      </c>
      <c r="H6" s="3238"/>
      <c r="I6" s="3237" t="s">
        <v>2545</v>
      </c>
      <c r="J6" s="3238"/>
      <c r="K6" s="610" t="s">
        <v>2546</v>
      </c>
      <c r="L6" s="1129"/>
      <c r="M6" s="1130"/>
      <c r="N6" s="1130"/>
      <c r="O6" s="1130"/>
      <c r="P6" s="3228"/>
      <c r="Q6" s="3229"/>
      <c r="R6" s="3232"/>
      <c r="S6" s="3233"/>
      <c r="T6" s="3234"/>
      <c r="U6" s="3235"/>
      <c r="V6" s="3236"/>
      <c r="W6" s="3236"/>
      <c r="X6" s="1812"/>
      <c r="Y6" s="3234"/>
      <c r="Z6" s="3235"/>
      <c r="AA6" s="3219"/>
      <c r="AB6" s="3219"/>
      <c r="AC6" s="3219"/>
    </row>
    <row r="7" spans="1:30" s="117" customFormat="1" ht="15.75" thickBot="1">
      <c r="A7" s="408" t="s">
        <v>2547</v>
      </c>
      <c r="B7" s="409"/>
      <c r="C7" s="410">
        <f>'数据-取费表'!B2</f>
        <v>43633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05"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 ca="1">ROUND(100/'数据-取费表'!G16,0)</f>
        <v>105</v>
      </c>
      <c r="G10" s="463"/>
      <c r="H10" s="136">
        <f ca="1">ROUND(100/'数据-取费表'!G16,0)</f>
        <v>105</v>
      </c>
      <c r="I10" s="463"/>
      <c r="J10" s="136">
        <f ca="1">ROUND(100/'数据-取费表'!G16,0)</f>
        <v>105</v>
      </c>
      <c r="K10" s="672"/>
      <c r="L10" s="1134"/>
      <c r="M10" s="1135"/>
      <c r="N10" s="1135"/>
      <c r="O10" s="1136"/>
      <c r="P10" s="3205"/>
      <c r="Q10" s="1794" t="str">
        <f t="shared" si="6"/>
        <v>土地使用年限（年）</v>
      </c>
      <c r="R10" s="770" t="s">
        <v>17</v>
      </c>
      <c r="S10" s="771">
        <f t="shared" ca="1" si="0"/>
        <v>105</v>
      </c>
      <c r="T10" s="770" t="s">
        <v>17</v>
      </c>
      <c r="U10" s="771">
        <f t="shared" ca="1" si="1"/>
        <v>105</v>
      </c>
      <c r="V10" s="770" t="s">
        <v>17</v>
      </c>
      <c r="W10" s="771">
        <f t="shared" ca="1" si="2"/>
        <v>105</v>
      </c>
      <c r="X10" s="772"/>
      <c r="Y10" s="3030"/>
      <c r="Z10" s="55" t="str">
        <f t="shared" si="7"/>
        <v>土地使用年限（年）</v>
      </c>
      <c r="AA10" s="773">
        <f t="shared" ca="1" si="3"/>
        <v>0.95238095238095233</v>
      </c>
      <c r="AB10" s="773">
        <f t="shared" ca="1" si="4"/>
        <v>0.95238095238095233</v>
      </c>
      <c r="AC10" s="773">
        <f t="shared" ca="1"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5"/>
      <c r="Q12" s="1794"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7" t="s">
        <v>2559</v>
      </c>
      <c r="Q15" s="1809" t="str">
        <f t="shared" si="6"/>
        <v>居住社区成熟度</v>
      </c>
      <c r="R15" s="774" t="s">
        <v>17</v>
      </c>
      <c r="S15" s="775">
        <f t="shared" si="0"/>
        <v>100</v>
      </c>
      <c r="T15" s="774" t="s">
        <v>17</v>
      </c>
      <c r="U15" s="775">
        <f t="shared" si="1"/>
        <v>100</v>
      </c>
      <c r="V15" s="774" t="s">
        <v>17</v>
      </c>
      <c r="W15" s="775">
        <f t="shared" si="2"/>
        <v>100</v>
      </c>
      <c r="X15" s="1812"/>
      <c r="Y15" s="3207" t="s">
        <v>2559</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08"/>
      <c r="Q16" s="1809"/>
      <c r="R16" s="774"/>
      <c r="S16" s="775"/>
      <c r="T16" s="774"/>
      <c r="U16" s="775"/>
      <c r="V16" s="774"/>
      <c r="W16" s="775"/>
      <c r="X16" s="1812"/>
      <c r="Y16" s="3208"/>
      <c r="Z16" s="1813"/>
      <c r="AA16" s="1810">
        <v>1</v>
      </c>
      <c r="AB16" s="1810">
        <v>1</v>
      </c>
      <c r="AC16" s="1810">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8"/>
      <c r="Q17" s="1809" t="str">
        <f>B17</f>
        <v>商业繁华度</v>
      </c>
      <c r="R17" s="774" t="s">
        <v>17</v>
      </c>
      <c r="S17" s="775">
        <f>F17</f>
        <v>100</v>
      </c>
      <c r="T17" s="774" t="s">
        <v>17</v>
      </c>
      <c r="U17" s="775">
        <f>H17</f>
        <v>100</v>
      </c>
      <c r="V17" s="774" t="s">
        <v>17</v>
      </c>
      <c r="W17" s="775">
        <f>J17</f>
        <v>100</v>
      </c>
      <c r="X17" s="1812"/>
      <c r="Y17" s="3208"/>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08"/>
      <c r="Q18" s="1809"/>
      <c r="R18" s="774"/>
      <c r="S18" s="775"/>
      <c r="T18" s="774"/>
      <c r="U18" s="775"/>
      <c r="V18" s="774"/>
      <c r="W18" s="775"/>
      <c r="X18" s="1812"/>
      <c r="Y18" s="3208"/>
      <c r="Z18" s="1813"/>
      <c r="AA18" s="1810">
        <v>1</v>
      </c>
      <c r="AB18" s="1810">
        <v>1</v>
      </c>
      <c r="AC18" s="1810">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8"/>
      <c r="Q19" s="1809" t="str">
        <f>B19</f>
        <v>办公集聚程度</v>
      </c>
      <c r="R19" s="774" t="s">
        <v>17</v>
      </c>
      <c r="S19" s="775">
        <f>F19</f>
        <v>100</v>
      </c>
      <c r="T19" s="774" t="s">
        <v>17</v>
      </c>
      <c r="U19" s="775">
        <f>H19</f>
        <v>100</v>
      </c>
      <c r="V19" s="774" t="s">
        <v>17</v>
      </c>
      <c r="W19" s="775">
        <f>J19</f>
        <v>100</v>
      </c>
      <c r="X19" s="1812"/>
      <c r="Y19" s="3208"/>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08"/>
      <c r="Q20" s="1809"/>
      <c r="R20" s="774"/>
      <c r="S20" s="775"/>
      <c r="T20" s="774"/>
      <c r="U20" s="775"/>
      <c r="V20" s="774"/>
      <c r="W20" s="775"/>
      <c r="X20" s="1812"/>
      <c r="Y20" s="3208"/>
      <c r="Z20" s="1813"/>
      <c r="AA20" s="1810">
        <v>1</v>
      </c>
      <c r="AB20" s="1810">
        <v>1</v>
      </c>
      <c r="AC20" s="1810">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8"/>
      <c r="Q21" s="1809" t="str">
        <f>B21</f>
        <v>交通便捷度</v>
      </c>
      <c r="R21" s="774" t="s">
        <v>17</v>
      </c>
      <c r="S21" s="775">
        <f>F21</f>
        <v>100</v>
      </c>
      <c r="T21" s="774" t="s">
        <v>17</v>
      </c>
      <c r="U21" s="775">
        <f>H21</f>
        <v>100</v>
      </c>
      <c r="V21" s="774" t="s">
        <v>17</v>
      </c>
      <c r="W21" s="775">
        <f>J21</f>
        <v>100</v>
      </c>
      <c r="X21" s="1812"/>
      <c r="Y21" s="3208"/>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08"/>
      <c r="Q22" s="1809"/>
      <c r="R22" s="774"/>
      <c r="S22" s="775"/>
      <c r="T22" s="774"/>
      <c r="U22" s="775"/>
      <c r="V22" s="774"/>
      <c r="W22" s="775"/>
      <c r="X22" s="1812"/>
      <c r="Y22" s="3208"/>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8"/>
      <c r="Q23" s="1809" t="str">
        <f t="shared" ref="Q23:Q37" si="8">B23</f>
        <v>区域土地利用方向</v>
      </c>
      <c r="R23" s="774" t="s">
        <v>17</v>
      </c>
      <c r="S23" s="775">
        <f>F23</f>
        <v>100</v>
      </c>
      <c r="T23" s="774" t="s">
        <v>17</v>
      </c>
      <c r="U23" s="775">
        <f>H23</f>
        <v>100</v>
      </c>
      <c r="V23" s="774" t="s">
        <v>17</v>
      </c>
      <c r="W23" s="775">
        <f>J23</f>
        <v>100</v>
      </c>
      <c r="X23" s="1812"/>
      <c r="Y23" s="3208"/>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08"/>
      <c r="Q24" s="1809"/>
      <c r="R24" s="774"/>
      <c r="S24" s="775"/>
      <c r="T24" s="774"/>
      <c r="U24" s="775"/>
      <c r="V24" s="774"/>
      <c r="W24" s="775"/>
      <c r="X24" s="1812"/>
      <c r="Y24" s="3208"/>
      <c r="Z24" s="1813"/>
      <c r="AA24" s="1810"/>
      <c r="AB24" s="1810"/>
      <c r="AC24" s="1810"/>
    </row>
    <row r="25" spans="1:29" ht="57">
      <c r="A25" s="404"/>
      <c r="B25" s="1383"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8"/>
      <c r="Q25" s="1809" t="str">
        <f t="shared" si="8"/>
        <v>自然及人文环境状况</v>
      </c>
      <c r="R25" s="774" t="s">
        <v>17</v>
      </c>
      <c r="S25" s="775">
        <f>F25</f>
        <v>100</v>
      </c>
      <c r="T25" s="774" t="s">
        <v>17</v>
      </c>
      <c r="U25" s="775">
        <f>H25</f>
        <v>100</v>
      </c>
      <c r="V25" s="774" t="s">
        <v>17</v>
      </c>
      <c r="W25" s="775">
        <f>J25</f>
        <v>100</v>
      </c>
      <c r="X25" s="1812"/>
      <c r="Y25" s="3208"/>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08"/>
      <c r="Q26" s="1809"/>
      <c r="R26" s="774"/>
      <c r="S26" s="775"/>
      <c r="T26" s="774"/>
      <c r="U26" s="775"/>
      <c r="V26" s="774"/>
      <c r="W26" s="775"/>
      <c r="X26" s="1812"/>
      <c r="Y26" s="3208"/>
      <c r="Z26" s="1813"/>
      <c r="AA26" s="1810">
        <v>1</v>
      </c>
      <c r="AB26" s="1810">
        <v>1</v>
      </c>
      <c r="AC26" s="1810">
        <v>1</v>
      </c>
    </row>
    <row r="27" spans="1:29" s="117" customFormat="1" ht="42.75">
      <c r="A27" s="649"/>
      <c r="B27" s="1383"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8"/>
      <c r="Q27" s="1794" t="str">
        <f t="shared" si="8"/>
        <v>公共配套设施</v>
      </c>
      <c r="R27" s="770" t="s">
        <v>17</v>
      </c>
      <c r="S27" s="771">
        <f>F27</f>
        <v>100</v>
      </c>
      <c r="T27" s="770" t="s">
        <v>17</v>
      </c>
      <c r="U27" s="771">
        <f>H27</f>
        <v>100</v>
      </c>
      <c r="V27" s="770" t="s">
        <v>17</v>
      </c>
      <c r="W27" s="771">
        <f>J27</f>
        <v>100</v>
      </c>
      <c r="X27" s="772"/>
      <c r="Y27" s="3208"/>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08"/>
      <c r="Q28" s="1794"/>
      <c r="R28" s="770"/>
      <c r="S28" s="771"/>
      <c r="T28" s="770"/>
      <c r="U28" s="771"/>
      <c r="V28" s="770"/>
      <c r="W28" s="771"/>
      <c r="X28" s="772"/>
      <c r="Y28" s="3208"/>
      <c r="Z28" s="55"/>
      <c r="AA28" s="1810">
        <v>1</v>
      </c>
      <c r="AB28" s="1810">
        <v>1</v>
      </c>
      <c r="AC28" s="1810">
        <v>1</v>
      </c>
    </row>
    <row r="29" spans="1:29" s="117" customFormat="1" ht="28.5">
      <c r="A29" s="649"/>
      <c r="B29" s="1383"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8"/>
      <c r="Q29" s="1794"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08"/>
      <c r="Q30" s="1794"/>
      <c r="R30" s="770"/>
      <c r="S30" s="771"/>
      <c r="T30" s="770"/>
      <c r="U30" s="771"/>
      <c r="V30" s="770"/>
      <c r="W30" s="771"/>
      <c r="X30" s="772"/>
      <c r="Y30" s="3208"/>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8"/>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8"/>
      <c r="Q32" s="1809" t="str">
        <f t="shared" si="8"/>
        <v>毗邻道路的类型与等级</v>
      </c>
      <c r="R32" s="774" t="s">
        <v>17</v>
      </c>
      <c r="S32" s="775">
        <f t="shared" si="10"/>
        <v>100</v>
      </c>
      <c r="T32" s="774" t="s">
        <v>17</v>
      </c>
      <c r="U32" s="775">
        <f t="shared" si="11"/>
        <v>100</v>
      </c>
      <c r="V32" s="774" t="s">
        <v>17</v>
      </c>
      <c r="W32" s="775">
        <f t="shared" si="12"/>
        <v>100</v>
      </c>
      <c r="X32" s="1812"/>
      <c r="Y32" s="3208"/>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08"/>
      <c r="Q33" s="1809"/>
      <c r="R33" s="774"/>
      <c r="S33" s="775"/>
      <c r="T33" s="774"/>
      <c r="U33" s="775"/>
      <c r="V33" s="774"/>
      <c r="W33" s="775"/>
      <c r="X33" s="1812"/>
      <c r="Y33" s="3208"/>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8"/>
      <c r="Q34" s="1809" t="str">
        <f t="shared" si="8"/>
        <v>土地级别</v>
      </c>
      <c r="R34" s="774" t="s">
        <v>17</v>
      </c>
      <c r="S34" s="775">
        <f t="shared" si="10"/>
        <v>100</v>
      </c>
      <c r="T34" s="774" t="s">
        <v>17</v>
      </c>
      <c r="U34" s="775">
        <f t="shared" si="11"/>
        <v>100</v>
      </c>
      <c r="V34" s="774" t="s">
        <v>17</v>
      </c>
      <c r="W34" s="775">
        <f t="shared" si="12"/>
        <v>100</v>
      </c>
      <c r="X34" s="1812"/>
      <c r="Y34" s="3208"/>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8"/>
      <c r="Q35" s="1809">
        <f t="shared" si="8"/>
        <v>111</v>
      </c>
      <c r="R35" s="774" t="s">
        <v>17</v>
      </c>
      <c r="S35" s="775">
        <f t="shared" si="10"/>
        <v>100</v>
      </c>
      <c r="T35" s="774" t="s">
        <v>17</v>
      </c>
      <c r="U35" s="775">
        <f t="shared" si="11"/>
        <v>100</v>
      </c>
      <c r="V35" s="774" t="s">
        <v>17</v>
      </c>
      <c r="W35" s="775">
        <f t="shared" si="12"/>
        <v>100</v>
      </c>
      <c r="X35" s="1812"/>
      <c r="Y35" s="3208"/>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3" t="s">
        <v>2564</v>
      </c>
      <c r="Q36" s="1809">
        <f t="shared" si="8"/>
        <v>111</v>
      </c>
      <c r="R36" s="774" t="s">
        <v>17</v>
      </c>
      <c r="S36" s="775">
        <f t="shared" si="10"/>
        <v>100</v>
      </c>
      <c r="T36" s="774" t="s">
        <v>17</v>
      </c>
      <c r="U36" s="775">
        <f t="shared" si="11"/>
        <v>100</v>
      </c>
      <c r="V36" s="774" t="s">
        <v>17</v>
      </c>
      <c r="W36" s="775">
        <f t="shared" si="12"/>
        <v>100</v>
      </c>
      <c r="X36" s="1812"/>
      <c r="Y36" s="3212"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2"/>
      <c r="Q37" s="1809">
        <f t="shared" si="8"/>
        <v>111</v>
      </c>
      <c r="R37" s="777" t="s">
        <v>17</v>
      </c>
      <c r="S37" s="778">
        <f t="shared" si="10"/>
        <v>100</v>
      </c>
      <c r="T37" s="777" t="s">
        <v>17</v>
      </c>
      <c r="U37" s="778">
        <f t="shared" si="11"/>
        <v>100</v>
      </c>
      <c r="V37" s="777" t="s">
        <v>17</v>
      </c>
      <c r="W37" s="778">
        <f t="shared" si="12"/>
        <v>100</v>
      </c>
      <c r="X37" s="779"/>
      <c r="Y37" s="3212"/>
      <c r="Z37" s="780">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2"/>
      <c r="Q38" s="1809" t="str">
        <f>B38</f>
        <v>宗地面积</v>
      </c>
      <c r="R38" s="774" t="s">
        <v>17</v>
      </c>
      <c r="S38" s="775" t="e">
        <f t="shared" si="10"/>
        <v>#N/A</v>
      </c>
      <c r="T38" s="774" t="s">
        <v>17</v>
      </c>
      <c r="U38" s="775" t="e">
        <f t="shared" si="11"/>
        <v>#N/A</v>
      </c>
      <c r="V38" s="774" t="s">
        <v>17</v>
      </c>
      <c r="W38" s="775" t="e">
        <f t="shared" si="12"/>
        <v>#N/A</v>
      </c>
      <c r="X38" s="1812"/>
      <c r="Y38" s="3212"/>
      <c r="Z38" s="1813" t="str">
        <f t="shared" si="13"/>
        <v>宗地面积</v>
      </c>
      <c r="AA38" s="1810" t="e">
        <f t="shared" si="3"/>
        <v>#N/A</v>
      </c>
      <c r="AB38" s="1810" t="e">
        <f t="shared" si="4"/>
        <v>#N/A</v>
      </c>
      <c r="AC38" s="1810"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12"/>
      <c r="Q39" s="1809" t="str">
        <f t="shared" ref="Q39:Q45" si="14">B39</f>
        <v>宗地形状</v>
      </c>
      <c r="R39" s="774" t="s">
        <v>17</v>
      </c>
      <c r="S39" s="775">
        <f t="shared" si="10"/>
        <v>100</v>
      </c>
      <c r="T39" s="774" t="s">
        <v>17</v>
      </c>
      <c r="U39" s="775">
        <f t="shared" si="11"/>
        <v>100</v>
      </c>
      <c r="V39" s="774" t="s">
        <v>17</v>
      </c>
      <c r="W39" s="775">
        <f t="shared" si="12"/>
        <v>100</v>
      </c>
      <c r="X39" s="1812"/>
      <c r="Y39" s="3212"/>
      <c r="Z39" s="1813" t="str">
        <f t="shared" si="13"/>
        <v>宗地形状</v>
      </c>
      <c r="AA39" s="1810">
        <f t="shared" si="3"/>
        <v>1</v>
      </c>
      <c r="AB39" s="1810">
        <f t="shared" si="4"/>
        <v>1</v>
      </c>
      <c r="AC39" s="1810">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12"/>
      <c r="Q40" s="1809" t="str">
        <f t="shared" si="14"/>
        <v>临街宽度及深度</v>
      </c>
      <c r="R40" s="774" t="s">
        <v>17</v>
      </c>
      <c r="S40" s="775">
        <f t="shared" si="10"/>
        <v>100</v>
      </c>
      <c r="T40" s="774" t="s">
        <v>17</v>
      </c>
      <c r="U40" s="775">
        <f t="shared" si="11"/>
        <v>100</v>
      </c>
      <c r="V40" s="774" t="s">
        <v>17</v>
      </c>
      <c r="W40" s="775">
        <f t="shared" si="12"/>
        <v>100</v>
      </c>
      <c r="X40" s="1812"/>
      <c r="Y40" s="3212"/>
      <c r="Z40" s="1813" t="str">
        <f t="shared" si="13"/>
        <v>临街宽度及深度</v>
      </c>
      <c r="AA40" s="1810">
        <f t="shared" si="3"/>
        <v>1</v>
      </c>
      <c r="AB40" s="1810">
        <f t="shared" si="4"/>
        <v>1</v>
      </c>
      <c r="AC40" s="1810">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12"/>
      <c r="Q41" s="1809"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12" t="s">
        <v>2564</v>
      </c>
      <c r="Q42" s="1809" t="str">
        <f t="shared" si="14"/>
        <v>工程地质条件</v>
      </c>
      <c r="R42" s="774" t="s">
        <v>17</v>
      </c>
      <c r="S42" s="775">
        <f t="shared" si="10"/>
        <v>100</v>
      </c>
      <c r="T42" s="774" t="s">
        <v>17</v>
      </c>
      <c r="U42" s="775">
        <f t="shared" si="11"/>
        <v>100</v>
      </c>
      <c r="V42" s="774" t="s">
        <v>17</v>
      </c>
      <c r="W42" s="775">
        <f t="shared" si="12"/>
        <v>100</v>
      </c>
      <c r="X42" s="1812"/>
      <c r="Y42" s="3212"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2"/>
      <c r="Q43" s="1809">
        <f t="shared" si="14"/>
        <v>111</v>
      </c>
      <c r="R43" s="774" t="s">
        <v>17</v>
      </c>
      <c r="S43" s="775">
        <f t="shared" si="10"/>
        <v>100</v>
      </c>
      <c r="T43" s="774" t="s">
        <v>17</v>
      </c>
      <c r="U43" s="775">
        <f t="shared" si="11"/>
        <v>100</v>
      </c>
      <c r="V43" s="774" t="s">
        <v>17</v>
      </c>
      <c r="W43" s="775">
        <f t="shared" si="12"/>
        <v>100</v>
      </c>
      <c r="X43" s="1812"/>
      <c r="Y43" s="3212"/>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2"/>
      <c r="Q44" s="1809">
        <f t="shared" si="14"/>
        <v>111</v>
      </c>
      <c r="R44" s="774" t="s">
        <v>17</v>
      </c>
      <c r="S44" s="775">
        <f t="shared" si="10"/>
        <v>100</v>
      </c>
      <c r="T44" s="774" t="s">
        <v>17</v>
      </c>
      <c r="U44" s="775">
        <f t="shared" si="11"/>
        <v>100</v>
      </c>
      <c r="V44" s="774" t="s">
        <v>17</v>
      </c>
      <c r="W44" s="775">
        <f t="shared" si="12"/>
        <v>100</v>
      </c>
      <c r="X44" s="1812"/>
      <c r="Y44" s="3212"/>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2"/>
      <c r="Q45" s="1809">
        <f t="shared" si="14"/>
        <v>111</v>
      </c>
      <c r="R45" s="777" t="s">
        <v>17</v>
      </c>
      <c r="S45" s="778">
        <f t="shared" si="10"/>
        <v>100</v>
      </c>
      <c r="T45" s="777" t="s">
        <v>17</v>
      </c>
      <c r="U45" s="778">
        <f t="shared" si="11"/>
        <v>100</v>
      </c>
      <c r="V45" s="777" t="s">
        <v>17</v>
      </c>
      <c r="W45" s="778">
        <f t="shared" si="12"/>
        <v>100</v>
      </c>
      <c r="X45" s="779"/>
      <c r="Y45" s="3212"/>
      <c r="Z45" s="780">
        <f t="shared" si="13"/>
        <v>111</v>
      </c>
      <c r="AA45" s="1810">
        <f t="shared" si="3"/>
        <v>1</v>
      </c>
      <c r="AB45" s="1810">
        <f t="shared" si="4"/>
        <v>1</v>
      </c>
      <c r="AC45" s="1810">
        <f t="shared" si="5"/>
        <v>1</v>
      </c>
    </row>
    <row r="46" spans="1:29" ht="15">
      <c r="A46" s="479" t="s">
        <v>2719</v>
      </c>
      <c r="B46" s="2706" t="s">
        <v>2755</v>
      </c>
      <c r="C46" s="682" t="s">
        <v>1</v>
      </c>
      <c r="D46" s="481"/>
      <c r="E46" s="482"/>
      <c r="F46" s="483"/>
      <c r="G46" s="484"/>
      <c r="H46" s="485"/>
      <c r="I46" s="482"/>
      <c r="J46" s="485"/>
      <c r="K46" s="783"/>
      <c r="L46" s="1142"/>
      <c r="M46" s="1143"/>
      <c r="N46" s="1130"/>
      <c r="O46" s="1143"/>
      <c r="P46" s="3205" t="str">
        <f>A46</f>
        <v>成交单价</v>
      </c>
      <c r="Q46" s="3205"/>
      <c r="R46" s="3236">
        <f>E46</f>
        <v>0</v>
      </c>
      <c r="S46" s="3236"/>
      <c r="T46" s="3236">
        <f>G46</f>
        <v>0</v>
      </c>
      <c r="U46" s="3236"/>
      <c r="V46" s="3236">
        <f>I46</f>
        <v>0</v>
      </c>
      <c r="W46" s="3236"/>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2"/>
      <c r="M47" s="1143"/>
      <c r="N47" s="1143"/>
      <c r="O47" s="1143"/>
      <c r="P47" s="3205" t="str">
        <f>A47</f>
        <v>比较价值（元/平方米）</v>
      </c>
      <c r="Q47" s="320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2"/>
      <c r="M48" s="1143"/>
      <c r="N48" s="1143"/>
      <c r="O48" s="1143"/>
      <c r="P48" s="3202" t="str">
        <f>A48</f>
        <v>估价对象XX用房的比较价值（楼面单价，元/平方米）</v>
      </c>
      <c r="Q48" s="3203"/>
      <c r="R48" s="3265" t="e">
        <f>ROUND(AVERAGE(R47:V47),0)</f>
        <v>#DIV/0!</v>
      </c>
      <c r="S48" s="3265"/>
      <c r="T48" s="3265"/>
      <c r="U48" s="3265"/>
      <c r="V48" s="3265"/>
      <c r="W48" s="326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2757</v>
      </c>
      <c r="B55" s="685" t="s">
        <v>2758</v>
      </c>
      <c r="C55" s="2707" t="s">
        <v>2759</v>
      </c>
      <c r="D55" s="2708" t="s">
        <v>2760</v>
      </c>
      <c r="E55" s="686" t="s">
        <v>2761</v>
      </c>
      <c r="F55" s="1106" t="s">
        <v>2762</v>
      </c>
      <c r="G55" s="3220" t="s">
        <v>2763</v>
      </c>
      <c r="H55" s="3266"/>
      <c r="I55" s="144" t="s">
        <v>2764</v>
      </c>
      <c r="J55" s="2709">
        <f>项目基本情况!F35</f>
        <v>0</v>
      </c>
      <c r="K55" s="2710" t="s">
        <v>2765</v>
      </c>
      <c r="L55" s="1105"/>
      <c r="M55" s="1143"/>
      <c r="N55" s="1143"/>
      <c r="O55" s="1143"/>
    </row>
    <row r="56" spans="1:15" s="692" customFormat="1">
      <c r="A56" s="688" t="s">
        <v>2766</v>
      </c>
      <c r="B56" s="689" t="e">
        <f>C48</f>
        <v>#DIV/0!</v>
      </c>
      <c r="C56" s="690">
        <v>1</v>
      </c>
      <c r="D56" s="1162">
        <v>1</v>
      </c>
      <c r="E56" s="690">
        <f>'数据-汇总表'!E8+'数据-汇总表'!E9</f>
        <v>109738</v>
      </c>
      <c r="F56" s="1102" t="e">
        <f t="shared" ref="F56:F65" si="15">ROUND(B56*E56/10000,0)</f>
        <v>#DIV/0!</v>
      </c>
      <c r="G56" s="3216"/>
      <c r="H56" s="3205"/>
      <c r="I56" s="1107">
        <v>1</v>
      </c>
      <c r="J56" s="1110">
        <v>1</v>
      </c>
      <c r="K56" s="1144"/>
      <c r="L56" s="940"/>
      <c r="M56" s="940"/>
      <c r="N56" s="940"/>
      <c r="O56" s="940"/>
    </row>
    <row r="57" spans="1:15" s="692" customFormat="1">
      <c r="A57" s="693" t="s">
        <v>2767</v>
      </c>
      <c r="B57" s="262" t="e">
        <f>ROUND($C$48*C57*D57,0)</f>
        <v>#DIV/0!</v>
      </c>
      <c r="C57" s="200">
        <f t="shared" ref="C57:C65" si="16">IF($C$55="北京市系数",I57,J57)</f>
        <v>0.7</v>
      </c>
      <c r="D57" s="1163">
        <v>0.25</v>
      </c>
      <c r="E57" s="694"/>
      <c r="F57" s="1102" t="e">
        <f t="shared" si="15"/>
        <v>#DIV/0!</v>
      </c>
      <c r="G57" s="3267" t="s">
        <v>2768</v>
      </c>
      <c r="H57" s="1103" t="str">
        <f>项目基本情况!B37</f>
        <v>五级</v>
      </c>
      <c r="I57" s="1107">
        <f>SUMIF(修正!A45:A56,H57,修正!B45:B56)</f>
        <v>0.7</v>
      </c>
      <c r="J57" s="1111"/>
      <c r="K57" s="1143"/>
      <c r="L57" s="940"/>
      <c r="M57" s="940"/>
      <c r="N57" s="940"/>
      <c r="O57" s="940"/>
    </row>
    <row r="58" spans="1:15" s="692" customFormat="1">
      <c r="A58" s="693" t="s">
        <v>2769</v>
      </c>
      <c r="B58" s="262" t="e">
        <f t="shared" ref="B58:B65" si="17">ROUND($C$48*C58*D58,0)</f>
        <v>#DIV/0!</v>
      </c>
      <c r="C58" s="200">
        <f t="shared" si="16"/>
        <v>0.4</v>
      </c>
      <c r="D58" s="1163">
        <v>0.25</v>
      </c>
      <c r="E58" s="694"/>
      <c r="F58" s="1102" t="e">
        <f t="shared" si="15"/>
        <v>#DIV/0!</v>
      </c>
      <c r="G58" s="3267"/>
      <c r="H58" s="1103" t="str">
        <f>项目基本情况!B37</f>
        <v>五级</v>
      </c>
      <c r="I58" s="1107">
        <f>SUMIF(修正!A45:A56,H58,修正!C45:C56)</f>
        <v>0.4</v>
      </c>
      <c r="J58" s="1111"/>
      <c r="K58" s="1144"/>
      <c r="L58" s="940"/>
      <c r="M58" s="940"/>
      <c r="N58" s="940"/>
      <c r="O58" s="940"/>
    </row>
    <row r="59" spans="1:15" s="692" customFormat="1">
      <c r="A59" s="693" t="s">
        <v>2770</v>
      </c>
      <c r="B59" s="262" t="e">
        <f t="shared" si="17"/>
        <v>#DIV/0!</v>
      </c>
      <c r="C59" s="200">
        <f t="shared" si="16"/>
        <v>0.28000000000000003</v>
      </c>
      <c r="D59" s="1163">
        <v>0.25</v>
      </c>
      <c r="E59" s="694"/>
      <c r="F59" s="1102" t="e">
        <f t="shared" si="15"/>
        <v>#DIV/0!</v>
      </c>
      <c r="G59" s="3267"/>
      <c r="H59" s="1103" t="str">
        <f>项目基本情况!B37</f>
        <v>五级</v>
      </c>
      <c r="I59" s="1107">
        <f>SUMIF(修正!A45:A56,H59,修正!D45:D56)</f>
        <v>0.28000000000000003</v>
      </c>
      <c r="J59" s="1111"/>
      <c r="K59" s="1143"/>
      <c r="L59" s="940"/>
      <c r="M59" s="940"/>
      <c r="N59" s="940"/>
      <c r="O59" s="940"/>
    </row>
    <row r="60" spans="1:15" s="692" customFormat="1">
      <c r="A60" s="693" t="s">
        <v>2771</v>
      </c>
      <c r="B60" s="262" t="e">
        <f t="shared" si="17"/>
        <v>#DIV/0!</v>
      </c>
      <c r="C60" s="200">
        <f t="shared" si="16"/>
        <v>0.25</v>
      </c>
      <c r="D60" s="1163">
        <v>0.25</v>
      </c>
      <c r="E60" s="694"/>
      <c r="F60" s="1102" t="e">
        <f t="shared" si="15"/>
        <v>#DIV/0!</v>
      </c>
      <c r="G60" s="3267"/>
      <c r="H60" s="1103" t="str">
        <f>项目基本情况!B37</f>
        <v>五级</v>
      </c>
      <c r="I60" s="1107">
        <f>SUMIF(修正!A45:A56,H60,修正!E45:E56)</f>
        <v>0.25</v>
      </c>
      <c r="J60" s="1111"/>
      <c r="K60" s="1144"/>
      <c r="L60" s="940"/>
      <c r="M60" s="940"/>
      <c r="N60" s="940"/>
      <c r="O60" s="940"/>
    </row>
    <row r="61" spans="1:15" s="692" customFormat="1">
      <c r="A61" s="693" t="s">
        <v>2772</v>
      </c>
      <c r="B61" s="262" t="e">
        <f t="shared" si="17"/>
        <v>#DIV/0!</v>
      </c>
      <c r="C61" s="200">
        <f t="shared" si="16"/>
        <v>0</v>
      </c>
      <c r="D61" s="1163">
        <v>0.25</v>
      </c>
      <c r="E61" s="261">
        <f>'数据-汇总表'!E11</f>
        <v>0</v>
      </c>
      <c r="F61" s="1102" t="e">
        <f t="shared" si="15"/>
        <v>#DIV/0!</v>
      </c>
      <c r="G61" s="2711" t="s">
        <v>2773</v>
      </c>
      <c r="H61" s="1103">
        <f>项目基本情况!C37</f>
        <v>0</v>
      </c>
      <c r="I61" s="1107">
        <f>SUMIF(修正!A45:A56,H61,修正!F45:F56)</f>
        <v>0</v>
      </c>
      <c r="J61" s="1111"/>
      <c r="K61" s="1143"/>
      <c r="L61" s="940"/>
      <c r="M61" s="940"/>
      <c r="N61" s="940"/>
      <c r="O61" s="940"/>
    </row>
    <row r="62" spans="1:15" s="692" customFormat="1">
      <c r="A62" s="693" t="s">
        <v>2774</v>
      </c>
      <c r="B62" s="262" t="e">
        <f t="shared" si="17"/>
        <v>#DIV/0!</v>
      </c>
      <c r="C62" s="200">
        <f t="shared" si="16"/>
        <v>0</v>
      </c>
      <c r="D62" s="1163">
        <v>0.25</v>
      </c>
      <c r="E62" s="261">
        <f>'数据-汇总表'!E12</f>
        <v>1301.8900000000001</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2776</v>
      </c>
      <c r="B63" s="262" t="e">
        <f t="shared" si="17"/>
        <v>#DIV/0!</v>
      </c>
      <c r="C63" s="200">
        <f t="shared" si="16"/>
        <v>0</v>
      </c>
      <c r="D63" s="1163">
        <v>0.25</v>
      </c>
      <c r="E63" s="261">
        <f>'数据-汇总表'!E13</f>
        <v>3220.52</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2778</v>
      </c>
      <c r="B64" s="262" t="e">
        <f t="shared" si="17"/>
        <v>#DIV/0!</v>
      </c>
      <c r="C64" s="200">
        <f t="shared" si="16"/>
        <v>0.2</v>
      </c>
      <c r="D64" s="1163">
        <v>0.25</v>
      </c>
      <c r="E64" s="261">
        <f>'数据-汇总表'!E14</f>
        <v>0</v>
      </c>
      <c r="F64" s="1102" t="e">
        <f t="shared" si="15"/>
        <v>#DIV/0!</v>
      </c>
      <c r="G64" s="2711" t="s">
        <v>2768</v>
      </c>
      <c r="H64" s="1103" t="str">
        <f>项目基本情况!B37</f>
        <v>五级</v>
      </c>
      <c r="I64" s="1107">
        <f>SUMIF(修正!A45:A56,H64,修正!H45:H56)</f>
        <v>0.2</v>
      </c>
      <c r="J64" s="1111"/>
      <c r="K64" s="1144"/>
      <c r="L64" s="940"/>
      <c r="M64" s="940"/>
      <c r="N64" s="940"/>
      <c r="O64" s="940"/>
    </row>
    <row r="65" spans="1:17" s="692" customFormat="1" ht="15" thickBot="1">
      <c r="A65" s="693" t="s">
        <v>2779</v>
      </c>
      <c r="B65" s="262" t="e">
        <f t="shared" si="17"/>
        <v>#DIV/0!</v>
      </c>
      <c r="C65" s="200">
        <f t="shared" si="16"/>
        <v>0</v>
      </c>
      <c r="D65" s="1163">
        <v>0.25</v>
      </c>
      <c r="E65" s="261">
        <f>'数据-汇总表'!E15</f>
        <v>0</v>
      </c>
      <c r="F65" s="1102" t="e">
        <f t="shared" si="15"/>
        <v>#DIV/0!</v>
      </c>
      <c r="G65" s="2712" t="s">
        <v>2773</v>
      </c>
      <c r="H65" s="1113">
        <f>项目基本情况!C37</f>
        <v>0</v>
      </c>
      <c r="I65" s="1109">
        <f>SUMIF(修正!A45:A56,H65,修正!H45:H56)</f>
        <v>0</v>
      </c>
      <c r="J65" s="1112"/>
      <c r="K65" s="1143"/>
      <c r="L65" s="940"/>
      <c r="M65" s="940"/>
      <c r="N65" s="940"/>
      <c r="O65" s="940"/>
    </row>
    <row r="66" spans="1:17" s="692" customFormat="1" ht="13.5" thickBot="1">
      <c r="A66" s="695" t="s">
        <v>2780</v>
      </c>
      <c r="B66" s="696" t="s">
        <v>28</v>
      </c>
      <c r="C66" s="696" t="s">
        <v>29</v>
      </c>
      <c r="D66" s="696" t="s">
        <v>1026</v>
      </c>
      <c r="E66" s="696">
        <f>IF(B46="楼面地价",SUM(E56:E65),'数据-汇总表'!D3)</f>
        <v>114260.41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2673</v>
      </c>
      <c r="B69" s="759"/>
      <c r="C69" s="764"/>
      <c r="D69" s="764"/>
      <c r="E69" s="764"/>
      <c r="F69" s="765"/>
      <c r="G69" s="765"/>
      <c r="H69" s="764"/>
      <c r="I69" s="764"/>
      <c r="J69" s="1158"/>
      <c r="K69" s="1159"/>
      <c r="L69" s="1160"/>
      <c r="M69" s="1158"/>
      <c r="N69" s="1158"/>
      <c r="O69" s="1158"/>
      <c r="P69" s="503"/>
      <c r="Q69" s="504"/>
    </row>
    <row r="70" spans="1:17" s="508" customFormat="1" ht="15">
      <c r="A70" s="2713"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1"/>
      <c r="P72" s="504"/>
      <c r="Q72" s="504"/>
    </row>
    <row r="73" spans="1:17" s="117" customFormat="1" ht="15">
      <c r="A73" s="521" t="s">
        <v>2549</v>
      </c>
      <c r="B73" s="510"/>
      <c r="C73" s="522" t="s">
        <v>2651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2587</v>
      </c>
      <c r="B75" s="528" t="s">
        <v>2553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29"/>
      <c r="M5" s="1130"/>
      <c r="N5" s="1130"/>
      <c r="O5" s="1130"/>
      <c r="P5" s="3226"/>
      <c r="Q5" s="3227"/>
      <c r="R5" s="3232"/>
      <c r="S5" s="3233"/>
      <c r="T5" s="3232"/>
      <c r="U5" s="3233"/>
      <c r="V5" s="3236"/>
      <c r="W5" s="3236"/>
      <c r="X5" s="1812"/>
      <c r="Y5" s="3232"/>
      <c r="Z5" s="3233"/>
      <c r="AA5" s="3218"/>
      <c r="AB5" s="3218"/>
      <c r="AC5" s="3218"/>
    </row>
    <row r="6" spans="1:29" ht="15.75" thickBot="1">
      <c r="A6" s="406"/>
      <c r="B6" s="407"/>
      <c r="C6" s="3268" t="s">
        <v>2796</v>
      </c>
      <c r="D6" s="3269"/>
      <c r="E6" s="3270" t="s">
        <v>2796</v>
      </c>
      <c r="F6" s="3271"/>
      <c r="G6" s="3268" t="s">
        <v>2796</v>
      </c>
      <c r="H6" s="3269"/>
      <c r="I6" s="3268" t="s">
        <v>2796</v>
      </c>
      <c r="J6" s="3269"/>
      <c r="K6" s="610" t="s">
        <v>2546</v>
      </c>
      <c r="L6" s="1129"/>
      <c r="M6" s="1130"/>
      <c r="N6" s="1130"/>
      <c r="O6" s="1130"/>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43633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1" t="s">
        <v>2551</v>
      </c>
      <c r="Q8" s="3242"/>
      <c r="R8" s="770" t="s">
        <v>17</v>
      </c>
      <c r="S8" s="771">
        <f t="shared" si="0"/>
        <v>0</v>
      </c>
      <c r="T8" s="770" t="s">
        <v>17</v>
      </c>
      <c r="U8" s="771">
        <f t="shared" si="1"/>
        <v>0</v>
      </c>
      <c r="V8" s="770" t="s">
        <v>17</v>
      </c>
      <c r="W8" s="771">
        <f t="shared" si="2"/>
        <v>0</v>
      </c>
      <c r="X8" s="772"/>
      <c r="Y8" s="3241" t="s">
        <v>2551</v>
      </c>
      <c r="Z8" s="3242"/>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05" t="s">
        <v>2554</v>
      </c>
      <c r="Q9" s="1794"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 ca="1">ROUND(100/'数据-取费表'!G16,0)</f>
        <v>105</v>
      </c>
      <c r="G10" s="432"/>
      <c r="H10" s="136">
        <f ca="1">ROUND(100/'数据-取费表'!G16,0)</f>
        <v>105</v>
      </c>
      <c r="I10" s="432"/>
      <c r="J10" s="136">
        <f ca="1">ROUND(100/'数据-取费表'!G16,0)</f>
        <v>105</v>
      </c>
      <c r="K10" s="672"/>
      <c r="L10" s="1134"/>
      <c r="M10" s="1135"/>
      <c r="N10" s="1135"/>
      <c r="O10" s="1136"/>
      <c r="P10" s="3205"/>
      <c r="Q10" s="1794" t="str">
        <f t="shared" si="6"/>
        <v>土地使用年限（年）</v>
      </c>
      <c r="R10" s="770" t="s">
        <v>17</v>
      </c>
      <c r="S10" s="771">
        <f t="shared" ca="1" si="0"/>
        <v>105</v>
      </c>
      <c r="T10" s="770" t="s">
        <v>17</v>
      </c>
      <c r="U10" s="771">
        <f t="shared" ca="1" si="1"/>
        <v>105</v>
      </c>
      <c r="V10" s="770" t="s">
        <v>17</v>
      </c>
      <c r="W10" s="771">
        <f t="shared" ca="1" si="2"/>
        <v>105</v>
      </c>
      <c r="X10" s="772"/>
      <c r="Y10" s="3030"/>
      <c r="Z10" s="55" t="str">
        <f t="shared" si="7"/>
        <v>土地使用年限（年）</v>
      </c>
      <c r="AA10" s="773">
        <f t="shared" ca="1" si="3"/>
        <v>0.95238095238095233</v>
      </c>
      <c r="AB10" s="773">
        <f t="shared" ca="1" si="4"/>
        <v>0.95238095238095233</v>
      </c>
      <c r="AC10" s="773">
        <f t="shared" ca="1"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7" t="s">
        <v>2559</v>
      </c>
      <c r="Q15" s="1809" t="str">
        <f t="shared" si="6"/>
        <v>产业集聚程度</v>
      </c>
      <c r="R15" s="774" t="s">
        <v>17</v>
      </c>
      <c r="S15" s="775">
        <f t="shared" si="0"/>
        <v>100</v>
      </c>
      <c r="T15" s="774" t="s">
        <v>17</v>
      </c>
      <c r="U15" s="775">
        <f t="shared" si="1"/>
        <v>100</v>
      </c>
      <c r="V15" s="774" t="s">
        <v>17</v>
      </c>
      <c r="W15" s="775">
        <f t="shared" si="2"/>
        <v>100</v>
      </c>
      <c r="X15" s="1812"/>
      <c r="Y15" s="3207" t="s">
        <v>2559</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08"/>
      <c r="Q16" s="1809"/>
      <c r="R16" s="774"/>
      <c r="S16" s="775"/>
      <c r="T16" s="774"/>
      <c r="U16" s="775"/>
      <c r="V16" s="774"/>
      <c r="W16" s="775"/>
      <c r="X16" s="1812"/>
      <c r="Y16" s="3208"/>
      <c r="Z16" s="1813"/>
      <c r="AA16" s="1810">
        <v>1</v>
      </c>
      <c r="AB16" s="1810">
        <v>1</v>
      </c>
      <c r="AC16" s="1810">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8"/>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08"/>
      <c r="Q18" s="1809"/>
      <c r="R18" s="774"/>
      <c r="S18" s="775"/>
      <c r="T18" s="774"/>
      <c r="U18" s="775"/>
      <c r="V18" s="774"/>
      <c r="W18" s="775"/>
      <c r="X18" s="1812"/>
      <c r="Y18" s="3208"/>
      <c r="Z18" s="1813"/>
      <c r="AA18" s="1810">
        <v>1</v>
      </c>
      <c r="AB18" s="1810">
        <v>1</v>
      </c>
      <c r="AC18" s="1810">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8"/>
      <c r="Q19" s="1809" t="str">
        <f t="shared" ref="Q19:Q33" si="8">B19</f>
        <v>区域土地利用方向</v>
      </c>
      <c r="R19" s="774" t="s">
        <v>17</v>
      </c>
      <c r="S19" s="775">
        <f>F19</f>
        <v>100</v>
      </c>
      <c r="T19" s="774" t="s">
        <v>17</v>
      </c>
      <c r="U19" s="775">
        <f>H19</f>
        <v>100</v>
      </c>
      <c r="V19" s="774" t="s">
        <v>17</v>
      </c>
      <c r="W19" s="775">
        <f>J19</f>
        <v>100</v>
      </c>
      <c r="X19" s="1812"/>
      <c r="Y19" s="3208"/>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08"/>
      <c r="Q20" s="1809"/>
      <c r="R20" s="774"/>
      <c r="S20" s="775"/>
      <c r="T20" s="774"/>
      <c r="U20" s="775"/>
      <c r="V20" s="774"/>
      <c r="W20" s="775"/>
      <c r="X20" s="1812"/>
      <c r="Y20" s="3208"/>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8"/>
      <c r="Q21" s="1809" t="str">
        <f t="shared" si="8"/>
        <v>环境状况</v>
      </c>
      <c r="R21" s="774" t="s">
        <v>17</v>
      </c>
      <c r="S21" s="775">
        <f>F21</f>
        <v>100</v>
      </c>
      <c r="T21" s="774" t="s">
        <v>17</v>
      </c>
      <c r="U21" s="775">
        <f>H21</f>
        <v>100</v>
      </c>
      <c r="V21" s="774" t="s">
        <v>17</v>
      </c>
      <c r="W21" s="775">
        <f>J21</f>
        <v>100</v>
      </c>
      <c r="X21" s="1812"/>
      <c r="Y21" s="3208"/>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08"/>
      <c r="Q22" s="1809"/>
      <c r="R22" s="774"/>
      <c r="S22" s="775"/>
      <c r="T22" s="774"/>
      <c r="U22" s="775"/>
      <c r="V22" s="774"/>
      <c r="W22" s="775"/>
      <c r="X22" s="1812"/>
      <c r="Y22" s="3208"/>
      <c r="Z22" s="1813"/>
      <c r="AA22" s="1810">
        <v>1</v>
      </c>
      <c r="AB22" s="1810">
        <v>1</v>
      </c>
      <c r="AC22" s="1810">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8"/>
      <c r="Q23" s="1794" t="str">
        <f t="shared" si="8"/>
        <v>公共配套设施</v>
      </c>
      <c r="R23" s="770" t="s">
        <v>17</v>
      </c>
      <c r="S23" s="771">
        <f>F23</f>
        <v>100</v>
      </c>
      <c r="T23" s="770" t="s">
        <v>17</v>
      </c>
      <c r="U23" s="771">
        <f>H23</f>
        <v>100</v>
      </c>
      <c r="V23" s="770" t="s">
        <v>17</v>
      </c>
      <c r="W23" s="771">
        <f>J23</f>
        <v>100</v>
      </c>
      <c r="X23" s="772"/>
      <c r="Y23" s="3208"/>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08"/>
      <c r="Q24" s="1794"/>
      <c r="R24" s="770"/>
      <c r="S24" s="771"/>
      <c r="T24" s="770"/>
      <c r="U24" s="771"/>
      <c r="V24" s="770"/>
      <c r="W24" s="771"/>
      <c r="X24" s="772"/>
      <c r="Y24" s="3208"/>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8"/>
      <c r="Q25" s="1794"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08"/>
      <c r="Q26" s="1794"/>
      <c r="R26" s="770"/>
      <c r="S26" s="771"/>
      <c r="T26" s="770"/>
      <c r="U26" s="771"/>
      <c r="V26" s="770"/>
      <c r="W26" s="771"/>
      <c r="X26" s="772"/>
      <c r="Y26" s="320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8"/>
      <c r="Z27" s="1813" t="str">
        <f t="shared" ref="Z27:Z40" si="13">Q27</f>
        <v>临街状况</v>
      </c>
      <c r="AA27" s="1810">
        <f t="shared" si="3"/>
        <v>1</v>
      </c>
      <c r="AB27" s="1810">
        <f t="shared" si="4"/>
        <v>1</v>
      </c>
      <c r="AC27" s="1810">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8"/>
      <c r="Q28" s="1809" t="str">
        <f t="shared" si="8"/>
        <v>毗邻道路的类型与等级</v>
      </c>
      <c r="R28" s="774" t="s">
        <v>17</v>
      </c>
      <c r="S28" s="775">
        <f t="shared" si="10"/>
        <v>100</v>
      </c>
      <c r="T28" s="774" t="s">
        <v>17</v>
      </c>
      <c r="U28" s="775">
        <f t="shared" si="11"/>
        <v>100</v>
      </c>
      <c r="V28" s="774" t="s">
        <v>17</v>
      </c>
      <c r="W28" s="775">
        <f t="shared" si="12"/>
        <v>100</v>
      </c>
      <c r="X28" s="1812"/>
      <c r="Y28" s="3208"/>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08"/>
      <c r="Q29" s="1809"/>
      <c r="R29" s="774"/>
      <c r="S29" s="775"/>
      <c r="T29" s="774"/>
      <c r="U29" s="775"/>
      <c r="V29" s="774"/>
      <c r="W29" s="775"/>
      <c r="X29" s="1812"/>
      <c r="Y29" s="3208"/>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8"/>
      <c r="Q30" s="1809" t="str">
        <f t="shared" si="8"/>
        <v>土地级别</v>
      </c>
      <c r="R30" s="774" t="s">
        <v>17</v>
      </c>
      <c r="S30" s="775">
        <f t="shared" si="10"/>
        <v>100</v>
      </c>
      <c r="T30" s="774" t="s">
        <v>17</v>
      </c>
      <c r="U30" s="775">
        <f t="shared" si="11"/>
        <v>100</v>
      </c>
      <c r="V30" s="774" t="s">
        <v>17</v>
      </c>
      <c r="W30" s="775">
        <f t="shared" si="12"/>
        <v>100</v>
      </c>
      <c r="X30" s="1812"/>
      <c r="Y30" s="3208"/>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8"/>
      <c r="Q31" s="1809">
        <f t="shared" si="8"/>
        <v>111</v>
      </c>
      <c r="R31" s="774" t="s">
        <v>17</v>
      </c>
      <c r="S31" s="775">
        <f t="shared" si="10"/>
        <v>100</v>
      </c>
      <c r="T31" s="774" t="s">
        <v>17</v>
      </c>
      <c r="U31" s="775">
        <f t="shared" si="11"/>
        <v>100</v>
      </c>
      <c r="V31" s="774" t="s">
        <v>17</v>
      </c>
      <c r="W31" s="775">
        <f t="shared" si="12"/>
        <v>100</v>
      </c>
      <c r="X31" s="1812"/>
      <c r="Y31" s="3208"/>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3" t="s">
        <v>2564</v>
      </c>
      <c r="Q32" s="1809">
        <f t="shared" si="8"/>
        <v>111</v>
      </c>
      <c r="R32" s="774" t="s">
        <v>17</v>
      </c>
      <c r="S32" s="775">
        <f t="shared" si="10"/>
        <v>100</v>
      </c>
      <c r="T32" s="774" t="s">
        <v>17</v>
      </c>
      <c r="U32" s="775">
        <f t="shared" si="11"/>
        <v>100</v>
      </c>
      <c r="V32" s="774" t="s">
        <v>17</v>
      </c>
      <c r="W32" s="775">
        <f t="shared" si="12"/>
        <v>100</v>
      </c>
      <c r="X32" s="1812"/>
      <c r="Y32" s="3212" t="s">
        <v>2564</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2"/>
      <c r="Q33" s="1809">
        <f t="shared" si="8"/>
        <v>111</v>
      </c>
      <c r="R33" s="777" t="s">
        <v>17</v>
      </c>
      <c r="S33" s="778">
        <f t="shared" si="10"/>
        <v>100</v>
      </c>
      <c r="T33" s="777" t="s">
        <v>17</v>
      </c>
      <c r="U33" s="778">
        <f t="shared" si="11"/>
        <v>100</v>
      </c>
      <c r="V33" s="777" t="s">
        <v>17</v>
      </c>
      <c r="W33" s="778">
        <f t="shared" si="12"/>
        <v>100</v>
      </c>
      <c r="X33" s="779"/>
      <c r="Y33" s="3212"/>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2"/>
      <c r="Q34" s="1809" t="str">
        <f>B34</f>
        <v>宗地面积</v>
      </c>
      <c r="R34" s="774" t="s">
        <v>17</v>
      </c>
      <c r="S34" s="775" t="e">
        <f t="shared" si="10"/>
        <v>#N/A</v>
      </c>
      <c r="T34" s="774" t="s">
        <v>17</v>
      </c>
      <c r="U34" s="775" t="e">
        <f t="shared" si="11"/>
        <v>#N/A</v>
      </c>
      <c r="V34" s="774" t="s">
        <v>17</v>
      </c>
      <c r="W34" s="775" t="e">
        <f t="shared" si="12"/>
        <v>#N/A</v>
      </c>
      <c r="X34" s="1812"/>
      <c r="Y34" s="3212"/>
      <c r="Z34" s="1813" t="str">
        <f t="shared" si="13"/>
        <v>宗地面积</v>
      </c>
      <c r="AA34" s="1810" t="e">
        <f t="shared" si="3"/>
        <v>#N/A</v>
      </c>
      <c r="AB34" s="1810" t="e">
        <f t="shared" si="4"/>
        <v>#N/A</v>
      </c>
      <c r="AC34" s="1810"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12"/>
      <c r="Q35" s="1809" t="str">
        <f t="shared" ref="Q35:Q40" si="14">B35</f>
        <v>宗地形状</v>
      </c>
      <c r="R35" s="774" t="s">
        <v>17</v>
      </c>
      <c r="S35" s="775">
        <f t="shared" si="10"/>
        <v>100</v>
      </c>
      <c r="T35" s="774" t="s">
        <v>17</v>
      </c>
      <c r="U35" s="775">
        <f t="shared" si="11"/>
        <v>100</v>
      </c>
      <c r="V35" s="774" t="s">
        <v>17</v>
      </c>
      <c r="W35" s="775">
        <f t="shared" si="12"/>
        <v>100</v>
      </c>
      <c r="X35" s="1812"/>
      <c r="Y35" s="3212"/>
      <c r="Z35" s="1813" t="str">
        <f t="shared" si="13"/>
        <v>宗地形状</v>
      </c>
      <c r="AA35" s="1810">
        <f t="shared" si="3"/>
        <v>1</v>
      </c>
      <c r="AB35" s="1810">
        <f t="shared" si="4"/>
        <v>1</v>
      </c>
      <c r="AC35" s="1810">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12"/>
      <c r="Q36" s="1809"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12" t="s">
        <v>2564</v>
      </c>
      <c r="Q37" s="1809" t="str">
        <f t="shared" si="14"/>
        <v>工程地质条件</v>
      </c>
      <c r="R37" s="774" t="s">
        <v>17</v>
      </c>
      <c r="S37" s="775">
        <f t="shared" si="10"/>
        <v>100</v>
      </c>
      <c r="T37" s="774" t="s">
        <v>17</v>
      </c>
      <c r="U37" s="775">
        <f t="shared" si="11"/>
        <v>100</v>
      </c>
      <c r="V37" s="774" t="s">
        <v>17</v>
      </c>
      <c r="W37" s="775">
        <f t="shared" si="12"/>
        <v>100</v>
      </c>
      <c r="X37" s="1812"/>
      <c r="Y37" s="3212"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2"/>
      <c r="Q38" s="1809">
        <f t="shared" si="14"/>
        <v>111</v>
      </c>
      <c r="R38" s="774" t="s">
        <v>17</v>
      </c>
      <c r="S38" s="775">
        <f t="shared" si="10"/>
        <v>100</v>
      </c>
      <c r="T38" s="774" t="s">
        <v>17</v>
      </c>
      <c r="U38" s="775">
        <f t="shared" si="11"/>
        <v>100</v>
      </c>
      <c r="V38" s="774" t="s">
        <v>17</v>
      </c>
      <c r="W38" s="775">
        <f t="shared" si="12"/>
        <v>100</v>
      </c>
      <c r="X38" s="1812"/>
      <c r="Y38" s="3212"/>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2"/>
      <c r="Q39" s="1809">
        <f t="shared" si="14"/>
        <v>111</v>
      </c>
      <c r="R39" s="774" t="s">
        <v>17</v>
      </c>
      <c r="S39" s="775">
        <f t="shared" si="10"/>
        <v>100</v>
      </c>
      <c r="T39" s="774" t="s">
        <v>17</v>
      </c>
      <c r="U39" s="775">
        <f t="shared" si="11"/>
        <v>100</v>
      </c>
      <c r="V39" s="774" t="s">
        <v>17</v>
      </c>
      <c r="W39" s="775">
        <f t="shared" si="12"/>
        <v>100</v>
      </c>
      <c r="X39" s="1812"/>
      <c r="Y39" s="3212"/>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2"/>
      <c r="Q40" s="1809">
        <f t="shared" si="14"/>
        <v>111</v>
      </c>
      <c r="R40" s="777" t="s">
        <v>17</v>
      </c>
      <c r="S40" s="778">
        <f t="shared" si="10"/>
        <v>100</v>
      </c>
      <c r="T40" s="777" t="s">
        <v>17</v>
      </c>
      <c r="U40" s="778">
        <f t="shared" si="11"/>
        <v>100</v>
      </c>
      <c r="V40" s="777" t="s">
        <v>17</v>
      </c>
      <c r="W40" s="778">
        <f t="shared" si="12"/>
        <v>100</v>
      </c>
      <c r="X40" s="779"/>
      <c r="Y40" s="3212"/>
      <c r="Z40" s="780">
        <f t="shared" si="13"/>
        <v>111</v>
      </c>
      <c r="AA40" s="1810">
        <f t="shared" si="3"/>
        <v>1</v>
      </c>
      <c r="AB40" s="1810">
        <f t="shared" si="4"/>
        <v>1</v>
      </c>
      <c r="AC40" s="1810">
        <f t="shared" si="5"/>
        <v>1</v>
      </c>
    </row>
    <row r="41" spans="1:29" ht="15">
      <c r="A41" s="479" t="s">
        <v>2719</v>
      </c>
      <c r="B41" s="2706" t="s">
        <v>2799</v>
      </c>
      <c r="C41" s="682" t="s">
        <v>1</v>
      </c>
      <c r="D41" s="481"/>
      <c r="E41" s="482"/>
      <c r="F41" s="483"/>
      <c r="G41" s="484"/>
      <c r="H41" s="485"/>
      <c r="I41" s="482"/>
      <c r="J41" s="485"/>
      <c r="K41" s="783"/>
      <c r="L41" s="1142"/>
      <c r="M41" s="1130"/>
      <c r="N41" s="1130"/>
      <c r="O41" s="1143"/>
      <c r="P41" s="3205" t="str">
        <f>A41</f>
        <v>成交单价</v>
      </c>
      <c r="Q41" s="3205"/>
      <c r="R41" s="3236">
        <f>E41</f>
        <v>0</v>
      </c>
      <c r="S41" s="3236"/>
      <c r="T41" s="3236">
        <f>G41</f>
        <v>0</v>
      </c>
      <c r="U41" s="3236"/>
      <c r="V41" s="3236">
        <f>I41</f>
        <v>0</v>
      </c>
      <c r="W41" s="323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2"/>
      <c r="M42" s="1130"/>
      <c r="N42" s="1130"/>
      <c r="O42" s="1143"/>
      <c r="P42" s="3205" t="str">
        <f>A42</f>
        <v>比较价值（元/平方米）</v>
      </c>
      <c r="Q42" s="320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2"/>
      <c r="M43" s="1130"/>
      <c r="N43" s="1130"/>
      <c r="O43" s="1143"/>
      <c r="P43" s="3202" t="str">
        <f>A43</f>
        <v>估价对象XX用房的比较价值（楼面单价，元/平方米）</v>
      </c>
      <c r="Q43" s="3203"/>
      <c r="R43" s="3265" t="e">
        <f>ROUND(AVERAGE(R42:V42),0)</f>
        <v>#DIV/0!</v>
      </c>
      <c r="S43" s="3265"/>
      <c r="T43" s="3265"/>
      <c r="U43" s="3265"/>
      <c r="V43" s="3265"/>
      <c r="W43" s="326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2757</v>
      </c>
      <c r="B50" s="685" t="s">
        <v>2758</v>
      </c>
      <c r="C50" s="2707" t="s">
        <v>2759</v>
      </c>
      <c r="D50" s="2708" t="s">
        <v>2760</v>
      </c>
      <c r="E50" s="686" t="s">
        <v>2761</v>
      </c>
      <c r="F50" s="687" t="s">
        <v>2762</v>
      </c>
      <c r="G50" s="3220" t="s">
        <v>2763</v>
      </c>
      <c r="H50" s="3266"/>
      <c r="I50" s="1813" t="s">
        <v>2800</v>
      </c>
      <c r="J50" s="1813">
        <f>项目基本情况!F35</f>
        <v>0</v>
      </c>
      <c r="K50" s="2710" t="s">
        <v>2765</v>
      </c>
      <c r="L50" s="1105"/>
      <c r="M50" s="1143"/>
      <c r="N50" s="1143"/>
      <c r="O50" s="1143"/>
    </row>
    <row r="51" spans="1:17" s="692" customFormat="1">
      <c r="A51" s="688" t="s">
        <v>2766</v>
      </c>
      <c r="B51" s="689" t="e">
        <f>C43</f>
        <v>#DIV/0!</v>
      </c>
      <c r="C51" s="690">
        <v>1</v>
      </c>
      <c r="D51" s="1162">
        <v>1</v>
      </c>
      <c r="E51" s="690">
        <f>'数据-汇总表'!E8+'数据-汇总表'!E9</f>
        <v>109738</v>
      </c>
      <c r="F51" s="691" t="e">
        <f t="shared" ref="F51:F60" si="15">ROUND(B51*E51/10000,0)</f>
        <v>#DIV/0!</v>
      </c>
      <c r="G51" s="3216"/>
      <c r="H51" s="3205"/>
      <c r="I51" s="941">
        <v>1</v>
      </c>
      <c r="J51" s="941">
        <v>1</v>
      </c>
      <c r="K51" s="1144"/>
      <c r="L51" s="940"/>
      <c r="M51" s="940"/>
      <c r="N51" s="940"/>
      <c r="O51" s="940"/>
    </row>
    <row r="52" spans="1:17" s="692" customFormat="1">
      <c r="A52" s="693" t="s">
        <v>2767</v>
      </c>
      <c r="B52" s="262" t="e">
        <f>ROUND($C$43*C52*D52,0)</f>
        <v>#DIV/0!</v>
      </c>
      <c r="C52" s="200">
        <f t="shared" ref="C52:C60" si="16">IF($C$50="北京市系数",I52,J52)</f>
        <v>0.7</v>
      </c>
      <c r="D52" s="1163">
        <v>0.25</v>
      </c>
      <c r="E52" s="694"/>
      <c r="F52" s="691" t="e">
        <f t="shared" si="15"/>
        <v>#DIV/0!</v>
      </c>
      <c r="G52" s="3267" t="s">
        <v>2768</v>
      </c>
      <c r="H52" s="1103" t="str">
        <f>项目基本情况!B37</f>
        <v>五级</v>
      </c>
      <c r="I52" s="941">
        <f>SUMIF(修正!A45:A56,H52,修正!B45:B56)</f>
        <v>0.7</v>
      </c>
      <c r="J52" s="942"/>
      <c r="K52" s="1143"/>
      <c r="L52" s="940"/>
      <c r="M52" s="940"/>
      <c r="N52" s="940"/>
      <c r="O52" s="940"/>
    </row>
    <row r="53" spans="1:17" s="692" customFormat="1">
      <c r="A53" s="693" t="s">
        <v>2769</v>
      </c>
      <c r="B53" s="262" t="e">
        <f t="shared" ref="B53:B60" si="17">ROUND($C$43*C53*D53,0)</f>
        <v>#DIV/0!</v>
      </c>
      <c r="C53" s="200">
        <f t="shared" si="16"/>
        <v>0.4</v>
      </c>
      <c r="D53" s="1163">
        <v>0.25</v>
      </c>
      <c r="E53" s="694"/>
      <c r="F53" s="691" t="e">
        <f t="shared" si="15"/>
        <v>#DIV/0!</v>
      </c>
      <c r="G53" s="3267"/>
      <c r="H53" s="1103" t="str">
        <f>项目基本情况!B37</f>
        <v>五级</v>
      </c>
      <c r="I53" s="941">
        <f>SUMIF(修正!A45:A56,H53,修正!C45:C56)</f>
        <v>0.4</v>
      </c>
      <c r="J53" s="942"/>
      <c r="K53" s="1144"/>
      <c r="L53" s="940"/>
      <c r="M53" s="940"/>
      <c r="N53" s="940"/>
      <c r="O53" s="940"/>
    </row>
    <row r="54" spans="1:17" s="692" customFormat="1">
      <c r="A54" s="693" t="s">
        <v>2770</v>
      </c>
      <c r="B54" s="262" t="e">
        <f t="shared" si="17"/>
        <v>#DIV/0!</v>
      </c>
      <c r="C54" s="200">
        <f t="shared" si="16"/>
        <v>0.28000000000000003</v>
      </c>
      <c r="D54" s="1163">
        <v>0.25</v>
      </c>
      <c r="E54" s="694"/>
      <c r="F54" s="691" t="e">
        <f t="shared" si="15"/>
        <v>#DIV/0!</v>
      </c>
      <c r="G54" s="3267"/>
      <c r="H54" s="1103" t="str">
        <f>项目基本情况!B37</f>
        <v>五级</v>
      </c>
      <c r="I54" s="941">
        <f>SUMIF(修正!A45:A56,H54,修正!D45:D56)</f>
        <v>0.28000000000000003</v>
      </c>
      <c r="J54" s="942"/>
      <c r="K54" s="1143"/>
      <c r="L54" s="940"/>
      <c r="M54" s="940"/>
      <c r="N54" s="940"/>
      <c r="O54" s="940"/>
    </row>
    <row r="55" spans="1:17" s="692" customFormat="1">
      <c r="A55" s="693" t="s">
        <v>2771</v>
      </c>
      <c r="B55" s="262" t="e">
        <f t="shared" si="17"/>
        <v>#DIV/0!</v>
      </c>
      <c r="C55" s="200">
        <f t="shared" si="16"/>
        <v>0.25</v>
      </c>
      <c r="D55" s="1163">
        <v>0.25</v>
      </c>
      <c r="E55" s="694"/>
      <c r="F55" s="691" t="e">
        <f t="shared" si="15"/>
        <v>#DIV/0!</v>
      </c>
      <c r="G55" s="3267"/>
      <c r="H55" s="1103" t="str">
        <f>项目基本情况!B37</f>
        <v>五级</v>
      </c>
      <c r="I55" s="941">
        <f>SUMIF(修正!A45:A56,H55,修正!E45:E56)</f>
        <v>0.25</v>
      </c>
      <c r="J55" s="942"/>
      <c r="K55" s="1144"/>
      <c r="L55" s="940"/>
      <c r="M55" s="940"/>
      <c r="N55" s="940"/>
      <c r="O55" s="940"/>
    </row>
    <row r="56" spans="1:17" s="692" customFormat="1">
      <c r="A56" s="693" t="s">
        <v>2772</v>
      </c>
      <c r="B56" s="262" t="e">
        <f t="shared" si="17"/>
        <v>#DIV/0!</v>
      </c>
      <c r="C56" s="200">
        <f t="shared" si="16"/>
        <v>0</v>
      </c>
      <c r="D56" s="1163">
        <v>0.25</v>
      </c>
      <c r="E56" s="261">
        <f>'数据-汇总表'!E11</f>
        <v>0</v>
      </c>
      <c r="F56" s="691" t="e">
        <f t="shared" si="15"/>
        <v>#DIV/0!</v>
      </c>
      <c r="G56" s="2711" t="s">
        <v>2773</v>
      </c>
      <c r="H56" s="1103">
        <f>项目基本情况!C37</f>
        <v>0</v>
      </c>
      <c r="I56" s="941">
        <f>SUMIF(修正!A45:A56,H56,修正!F45:F56)</f>
        <v>0</v>
      </c>
      <c r="J56" s="942"/>
      <c r="K56" s="1143"/>
      <c r="L56" s="940"/>
      <c r="M56" s="940"/>
      <c r="N56" s="940"/>
      <c r="O56" s="940"/>
    </row>
    <row r="57" spans="1:17" s="692" customFormat="1">
      <c r="A57" s="693" t="s">
        <v>2774</v>
      </c>
      <c r="B57" s="262" t="e">
        <f t="shared" si="17"/>
        <v>#DIV/0!</v>
      </c>
      <c r="C57" s="200">
        <f t="shared" si="16"/>
        <v>0</v>
      </c>
      <c r="D57" s="1163">
        <v>0.25</v>
      </c>
      <c r="E57" s="261">
        <f>'数据-汇总表'!E12</f>
        <v>1301.8900000000001</v>
      </c>
      <c r="F57" s="691"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2776</v>
      </c>
      <c r="B58" s="262" t="e">
        <f t="shared" si="17"/>
        <v>#DIV/0!</v>
      </c>
      <c r="C58" s="200">
        <f t="shared" si="16"/>
        <v>0</v>
      </c>
      <c r="D58" s="1163">
        <v>0.25</v>
      </c>
      <c r="E58" s="261">
        <f>'数据-汇总表'!E13</f>
        <v>3220.52</v>
      </c>
      <c r="F58" s="691"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2778</v>
      </c>
      <c r="B59" s="262" t="e">
        <f t="shared" si="17"/>
        <v>#DIV/0!</v>
      </c>
      <c r="C59" s="200">
        <f t="shared" si="16"/>
        <v>0.2</v>
      </c>
      <c r="D59" s="1163">
        <v>0.25</v>
      </c>
      <c r="E59" s="261">
        <f>'数据-汇总表'!E14</f>
        <v>0</v>
      </c>
      <c r="F59" s="691" t="e">
        <f t="shared" si="15"/>
        <v>#DIV/0!</v>
      </c>
      <c r="G59" s="2711" t="s">
        <v>2768</v>
      </c>
      <c r="H59" s="1103" t="str">
        <f>项目基本情况!B37</f>
        <v>五级</v>
      </c>
      <c r="I59" s="941">
        <f>SUMIF(修正!A45:A56,H59,修正!H45:H56)</f>
        <v>0.2</v>
      </c>
      <c r="J59" s="942"/>
      <c r="K59" s="1144"/>
      <c r="L59" s="940"/>
      <c r="M59" s="940"/>
      <c r="N59" s="940"/>
      <c r="O59" s="940"/>
    </row>
    <row r="60" spans="1:17" s="692" customFormat="1" ht="15" thickBot="1">
      <c r="A60" s="693" t="s">
        <v>2779</v>
      </c>
      <c r="B60" s="262" t="e">
        <f t="shared" si="17"/>
        <v>#DIV/0!</v>
      </c>
      <c r="C60" s="200">
        <f t="shared" si="16"/>
        <v>0</v>
      </c>
      <c r="D60" s="1163">
        <v>0.25</v>
      </c>
      <c r="E60" s="261">
        <f>'数据-汇总表'!E15</f>
        <v>0</v>
      </c>
      <c r="F60" s="691" t="e">
        <f t="shared" si="15"/>
        <v>#DIV/0!</v>
      </c>
      <c r="G60" s="2712" t="s">
        <v>2773</v>
      </c>
      <c r="H60" s="1113">
        <f>项目基本情况!C37</f>
        <v>0</v>
      </c>
      <c r="I60" s="941">
        <f>SUMIF(修正!A45:A56,H60,修正!H45:H56)</f>
        <v>0</v>
      </c>
      <c r="J60" s="942"/>
      <c r="K60" s="1143"/>
      <c r="L60" s="940"/>
      <c r="M60" s="940"/>
      <c r="N60" s="940"/>
      <c r="O60" s="940"/>
    </row>
    <row r="61" spans="1:17" s="692" customFormat="1" ht="15" thickBot="1">
      <c r="A61" s="695" t="s">
        <v>2780</v>
      </c>
      <c r="B61" s="696" t="s">
        <v>28</v>
      </c>
      <c r="C61" s="696" t="s">
        <v>29</v>
      </c>
      <c r="D61" s="696" t="s">
        <v>1026</v>
      </c>
      <c r="E61" s="696">
        <f>IF(B41="楼面地价",SUM(E51:E60),'数据-汇总表'!D3)</f>
        <v>22165.75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2673</v>
      </c>
      <c r="B64" s="759"/>
      <c r="C64" s="764"/>
      <c r="D64" s="764"/>
      <c r="E64" s="764"/>
      <c r="F64" s="765"/>
      <c r="G64" s="765"/>
      <c r="H64" s="764"/>
      <c r="I64" s="764"/>
      <c r="J64" s="764"/>
      <c r="K64" s="766"/>
      <c r="L64" s="767"/>
      <c r="M64" s="764"/>
      <c r="N64" s="764"/>
      <c r="O64" s="1158"/>
      <c r="P64" s="503"/>
      <c r="Q64" s="504"/>
    </row>
    <row r="65" spans="1:17" s="508" customFormat="1" ht="15">
      <c r="A65" s="2713"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2587</v>
      </c>
      <c r="B70" s="528" t="s">
        <v>2553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3072</v>
      </c>
      <c r="D1" s="1819" t="s">
        <v>3095</v>
      </c>
      <c r="E1" s="1820" t="s">
        <v>1383</v>
      </c>
      <c r="F1" s="1282">
        <f ca="1">J53</f>
        <v>32.700000000000003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47779</v>
      </c>
      <c r="C2" s="1844" t="s">
        <v>1512</v>
      </c>
      <c r="D2" s="1844"/>
      <c r="E2" s="1845"/>
      <c r="F2" s="1846"/>
      <c r="G2" s="1847"/>
      <c r="H2" s="1839"/>
      <c r="I2" s="1839"/>
      <c r="J2" s="1839"/>
      <c r="K2" s="1840"/>
      <c r="L2" s="1839"/>
      <c r="M2" s="1839"/>
    </row>
    <row r="3" spans="1:37" ht="18" customHeight="1" thickBot="1">
      <c r="A3" s="1848" t="s">
        <v>1513</v>
      </c>
      <c r="B3" s="1849">
        <f ca="1">IF(ISERROR(B2*10000/F43),0,ROUND(B2*10000/F43,0))</f>
        <v>28393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3133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3133</v>
      </c>
      <c r="D6" s="164" t="s">
        <v>3030</v>
      </c>
      <c r="E6" s="347" t="s">
        <v>1401</v>
      </c>
      <c r="F6" s="348">
        <f ca="1">INDIRECT("'数据-取费表'!u"&amp;$G$1)</f>
        <v>6</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16827.990000000002</v>
      </c>
      <c r="G7" s="1850"/>
      <c r="H7" s="349"/>
      <c r="I7" s="3178"/>
      <c r="J7" s="351"/>
      <c r="K7" s="352"/>
      <c r="L7" s="347" t="s">
        <v>1402</v>
      </c>
      <c r="M7" s="348">
        <f ca="1">F7</f>
        <v>16827.990000000002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12164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8392</v>
      </c>
      <c r="D14" s="2954" t="s">
        <v>1414</v>
      </c>
      <c r="E14" s="2952"/>
      <c r="F14" s="364"/>
      <c r="G14" s="1850"/>
      <c r="H14" s="1200" t="s">
        <v>1032</v>
      </c>
      <c r="I14" s="347" t="s">
        <v>1415</v>
      </c>
      <c r="J14" s="24">
        <f ca="1">C29</f>
        <v>12164</v>
      </c>
      <c r="K14" s="2959"/>
      <c r="L14" s="978"/>
      <c r="M14" s="979"/>
    </row>
    <row r="15" spans="1:37" s="1857" customFormat="1" ht="18" customHeight="1" thickBot="1">
      <c r="A15" s="1200" t="s">
        <v>1033</v>
      </c>
      <c r="B15" s="347" t="s">
        <v>1416</v>
      </c>
      <c r="C15" s="24">
        <f ca="1">ROUND(C14*F15,0)</f>
        <v>252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288</v>
      </c>
      <c r="K16" s="1336" t="s">
        <v>1421</v>
      </c>
      <c r="L16" s="2955"/>
      <c r="M16" s="1293"/>
    </row>
    <row r="17" spans="1:37" s="1857" customFormat="1" ht="18" customHeight="1">
      <c r="A17" s="1200" t="s">
        <v>1386</v>
      </c>
      <c r="B17" s="347" t="s">
        <v>1422</v>
      </c>
      <c r="C17" s="24">
        <f ca="1">ROUND(F17*(F43+INDIRECT("'数据-取费表'!S"&amp;$G$1))/10000,0)</f>
        <v>383</v>
      </c>
      <c r="D17" s="347" t="s">
        <v>1423</v>
      </c>
      <c r="E17" s="347" t="s">
        <v>1424</v>
      </c>
      <c r="F17" s="26">
        <f>'数据-取费表'!B35</f>
        <v>200</v>
      </c>
      <c r="G17" s="1853"/>
      <c r="H17" s="1200" t="s">
        <v>1032</v>
      </c>
      <c r="I17" s="347" t="s">
        <v>1425</v>
      </c>
      <c r="J17" s="24">
        <f ca="1">ROUND(IF(项目基本情况!B11="自然人",J5*M17,J18+J19+J20),1)</f>
        <v>105.8</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126</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9153</v>
      </c>
      <c r="D19" s="140" t="s">
        <v>1432</v>
      </c>
      <c r="E19" s="2958"/>
      <c r="F19" s="26"/>
      <c r="G19" s="1850"/>
      <c r="H19" s="1200" t="s">
        <v>1033</v>
      </c>
      <c r="I19" s="347" t="s">
        <v>1433</v>
      </c>
      <c r="J19" s="24">
        <f ca="1">IF(K19="按租金收入计税",ROUND(J5*M19,2),ROUND(C29*M19*0.7,2))</f>
        <v>102.18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183</v>
      </c>
      <c r="D20" s="369" t="s">
        <v>1436</v>
      </c>
      <c r="E20" s="347" t="s">
        <v>1418</v>
      </c>
      <c r="F20" s="367">
        <f>'数据-取费表'!B37</f>
        <v>0.02</v>
      </c>
      <c r="G20" s="1853"/>
      <c r="H20" s="1200" t="s">
        <v>1385</v>
      </c>
      <c r="I20" s="164" t="s">
        <v>1437</v>
      </c>
      <c r="J20" s="25">
        <f ca="1">ROUND(M20*M21/10000,2)</f>
        <v>3.62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3014.9300000000003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182.5</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558</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-288</v>
      </c>
      <c r="K25" s="1344" t="s">
        <v>1460</v>
      </c>
      <c r="L25" s="1345"/>
      <c r="M25" s="1346"/>
    </row>
    <row r="26" spans="1:37">
      <c r="A26" s="1200" t="s">
        <v>1031</v>
      </c>
      <c r="B26" s="347" t="s">
        <v>1461</v>
      </c>
      <c r="C26" s="24">
        <f ca="1">ROUND((C19+C20)*F26,0)</f>
        <v>1400</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12164</v>
      </c>
      <c r="D29" s="1341"/>
      <c r="E29" s="1339"/>
      <c r="F29" s="1342"/>
      <c r="G29" s="1853"/>
      <c r="H29" s="380" t="s">
        <v>1030</v>
      </c>
      <c r="I29" s="381" t="s">
        <v>1475</v>
      </c>
      <c r="J29" s="382">
        <f ca="1">ROUND(J26/(1+F40)^F41,0)</f>
        <v>0</v>
      </c>
      <c r="K29" s="383" t="s">
        <v>1476</v>
      </c>
      <c r="L29" s="384"/>
      <c r="M29" s="385">
        <f ca="1">INDIRECT("'数据-取费表'!k"&amp;$G$1)</f>
        <v>16827.990000000002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779</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546.70000000000005</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167.09</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375.96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3.62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3014.9300000000003</v>
      </c>
      <c r="G35" s="1850"/>
      <c r="H35" s="745"/>
      <c r="I35" s="1859"/>
      <c r="J35" s="1860"/>
      <c r="K35" s="1861"/>
      <c r="L35" s="1858"/>
      <c r="M35" s="1858"/>
    </row>
    <row r="36" spans="1:18" ht="18" customHeight="1">
      <c r="A36" s="1351" t="s">
        <v>1036</v>
      </c>
      <c r="B36" s="347" t="s">
        <v>1445</v>
      </c>
      <c r="C36" s="24">
        <f ca="1">ROUND(C29*F36,1)</f>
        <v>182.5</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18.2</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31.3</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2354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47779</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28393</v>
      </c>
      <c r="D43" s="383" t="s">
        <v>1484</v>
      </c>
      <c r="E43" s="384" t="s">
        <v>1485</v>
      </c>
      <c r="F43" s="385">
        <f ca="1">INDIRECT("'数据-取费表'!k"&amp;$G$1)</f>
        <v>16827.990000000002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-65173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47779</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12164</v>
      </c>
      <c r="R49" s="1885" t="s">
        <v>1525</v>
      </c>
    </row>
    <row r="50" spans="1:18" s="1841" customFormat="1" ht="13.5" thickBot="1">
      <c r="A50" s="1194"/>
      <c r="B50" s="1197"/>
      <c r="C50" s="1367"/>
      <c r="D50" s="1171"/>
      <c r="E50" s="1276" t="s">
        <v>1402</v>
      </c>
      <c r="F50" s="1277">
        <f ca="1">F7</f>
        <v>16827.990000000002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20484</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47779</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12164</v>
      </c>
      <c r="D56" s="1913"/>
      <c r="E56" s="1914"/>
      <c r="F56" s="1906"/>
      <c r="I56" s="1915" t="s">
        <v>1550</v>
      </c>
      <c r="J56" s="1916" t="s">
        <v>3070</v>
      </c>
      <c r="K56" s="1886" t="s">
        <v>1551</v>
      </c>
      <c r="L56" s="1889" t="str">
        <f ca="1">IF(L48&lt;J51,"——",L48-J53)</f>
        <v>——</v>
      </c>
      <c r="O56" s="1883" t="s">
        <v>1037</v>
      </c>
      <c r="P56" s="1884" t="s">
        <v>1524</v>
      </c>
      <c r="Q56" s="1885">
        <f ca="1">C40+J29</f>
        <v>47779</v>
      </c>
      <c r="R56" s="1885" t="s">
        <v>1525</v>
      </c>
    </row>
    <row r="57" spans="1:18" s="1841" customFormat="1" ht="24.75" thickBot="1">
      <c r="A57" s="1917"/>
      <c r="B57" s="1168" t="s">
        <v>1474</v>
      </c>
      <c r="C57" s="282">
        <f ca="1">C29</f>
        <v>12164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1226</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1025.4000000000001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1021.78</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3.62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47779</v>
      </c>
      <c r="R62" s="1885" t="s">
        <v>1044</v>
      </c>
    </row>
    <row r="63" spans="1:18" s="1841" customFormat="1" ht="13.5" thickBot="1">
      <c r="A63" s="372"/>
      <c r="B63" s="1174"/>
      <c r="C63" s="29"/>
      <c r="D63" s="1184"/>
      <c r="E63" s="1168" t="s">
        <v>1495</v>
      </c>
      <c r="F63" s="348">
        <f t="shared" ca="1" si="0"/>
        <v>3014.9300000000003</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182.5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18.2</v>
      </c>
      <c r="D65" s="1182" t="s">
        <v>1450</v>
      </c>
      <c r="E65" s="1168" t="s">
        <v>1451</v>
      </c>
      <c r="F65" s="376">
        <f t="shared" ca="1" si="0"/>
        <v>1.5E-3</v>
      </c>
      <c r="I65" s="1928" t="s">
        <v>1575</v>
      </c>
      <c r="J65" s="1929">
        <v>40</v>
      </c>
      <c r="K65" s="1929">
        <v>30</v>
      </c>
      <c r="L65" s="1929">
        <v>50</v>
      </c>
      <c r="M65" s="1931">
        <v>0.02</v>
      </c>
      <c r="O65" s="1883" t="s">
        <v>1037</v>
      </c>
      <c r="P65" s="1884" t="s">
        <v>1576</v>
      </c>
      <c r="Q65" s="1885">
        <f ca="1">C40+J29</f>
        <v>47779</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-1226</v>
      </c>
      <c r="D67" s="1181" t="s">
        <v>1460</v>
      </c>
      <c r="E67" s="1186"/>
      <c r="F67" s="1187"/>
      <c r="O67" s="1893" t="s">
        <v>1039</v>
      </c>
      <c r="P67" s="1884" t="s">
        <v>1558</v>
      </c>
      <c r="Q67" s="1932">
        <f ca="1">L51</f>
        <v>20484</v>
      </c>
      <c r="R67" s="1885" t="s">
        <v>1578</v>
      </c>
    </row>
    <row r="68" spans="1:18" s="1841" customFormat="1" ht="16.5" thickBot="1">
      <c r="A68" s="1165" t="s">
        <v>1029</v>
      </c>
      <c r="B68" s="1166" t="s">
        <v>1481</v>
      </c>
      <c r="C68" s="346">
        <f ca="1">ROUND(C67*(1-((1+F70)/(1+F68))^F69)/(F68-F70),0)</f>
        <v>-17394</v>
      </c>
      <c r="D68" s="1183" t="s">
        <v>1465</v>
      </c>
      <c r="E68" s="1168" t="s">
        <v>1466</v>
      </c>
      <c r="F68" s="357">
        <f ca="1">F40</f>
        <v>0.06</v>
      </c>
      <c r="O68" s="1893" t="s">
        <v>1040</v>
      </c>
      <c r="P68" s="1933" t="s">
        <v>1579</v>
      </c>
      <c r="Q68" s="1885">
        <f ca="1">ROUND(Q69-Q70*Q71,0)</f>
        <v>1320</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2354</v>
      </c>
      <c r="R69" s="1885" t="s">
        <v>1525</v>
      </c>
    </row>
    <row r="70" spans="1:18" s="1841" customFormat="1" ht="13.5" thickBot="1">
      <c r="A70" s="1172"/>
      <c r="B70" s="1173"/>
      <c r="C70" s="355"/>
      <c r="D70" s="1184"/>
      <c r="E70" s="1168" t="s">
        <v>1473</v>
      </c>
      <c r="F70" s="1274"/>
      <c r="O70" s="1893" t="s">
        <v>1046</v>
      </c>
      <c r="P70" s="1933" t="s">
        <v>1581</v>
      </c>
      <c r="Q70" s="1885">
        <f ca="1">C13</f>
        <v>12164</v>
      </c>
      <c r="R70" s="1885" t="s">
        <v>1525</v>
      </c>
    </row>
    <row r="71" spans="1:18" s="1841" customFormat="1" ht="13.5" thickBot="1">
      <c r="A71" s="1189" t="s">
        <v>1030</v>
      </c>
      <c r="B71" s="1190" t="s">
        <v>1483</v>
      </c>
      <c r="C71" s="382">
        <f ca="1">ROUND(C68*10000/F71,0)</f>
        <v>-10336</v>
      </c>
      <c r="D71" s="1191" t="s">
        <v>1484</v>
      </c>
      <c r="E71" s="1192" t="s">
        <v>1485</v>
      </c>
      <c r="F71" s="385">
        <f ca="1">F43</f>
        <v>16827.990000000002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1034</v>
      </c>
      <c r="D75" s="1841"/>
      <c r="E75" s="1841"/>
      <c r="F75" s="1841"/>
      <c r="K75" s="1867"/>
      <c r="L75" s="1841"/>
      <c r="O75" s="1883" t="s">
        <v>1043</v>
      </c>
      <c r="P75" s="1884" t="s">
        <v>1545</v>
      </c>
      <c r="Q75" s="1885">
        <f ca="1">Q65+Q66</f>
        <v>47779</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0.56099999999999994</v>
      </c>
    </row>
    <row r="80" spans="1:18">
      <c r="B80" s="386" t="s">
        <v>1507</v>
      </c>
      <c r="C80" s="318">
        <f ca="1">ROUND(C75/C39,3)</f>
        <v>0.439</v>
      </c>
    </row>
    <row r="81" spans="2:3">
      <c r="B81" s="314" t="s">
        <v>1508</v>
      </c>
      <c r="C81" s="282"/>
    </row>
    <row r="82" spans="2:3">
      <c r="B82" s="317" t="s">
        <v>1509</v>
      </c>
      <c r="C82" s="319">
        <f ca="1">1-C83</f>
        <v>0.745</v>
      </c>
    </row>
    <row r="83" spans="2:3">
      <c r="B83" s="317" t="s">
        <v>1510</v>
      </c>
      <c r="C83" s="318">
        <f ca="1">ROUND(C13/C40,3)</f>
        <v>0.255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3100</v>
      </c>
      <c r="D1" s="1819" t="s">
        <v>3095</v>
      </c>
      <c r="E1" s="1820" t="s">
        <v>1383</v>
      </c>
      <c r="F1" s="1282">
        <f ca="1">J53</f>
        <v>32.700000000000003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72278</v>
      </c>
      <c r="C2" s="1844" t="s">
        <v>1512</v>
      </c>
      <c r="D2" s="1844"/>
      <c r="E2" s="1845"/>
      <c r="F2" s="1846"/>
      <c r="G2" s="1847"/>
      <c r="H2" s="1839"/>
      <c r="I2" s="1839"/>
      <c r="J2" s="1839"/>
      <c r="K2" s="1840"/>
      <c r="L2" s="1839"/>
      <c r="M2" s="1839"/>
    </row>
    <row r="3" spans="1:37" ht="18" customHeight="1" thickBot="1">
      <c r="A3" s="1848" t="s">
        <v>1513</v>
      </c>
      <c r="B3" s="1849">
        <f ca="1">IF(ISERROR(B2*10000/F43),0,ROUND(B2*10000/F43,0))</f>
        <v>18488</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4852</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4852</v>
      </c>
      <c r="D6" s="164" t="s">
        <v>3030</v>
      </c>
      <c r="E6" s="347" t="s">
        <v>1401</v>
      </c>
      <c r="F6" s="348">
        <f ca="1">INDIRECT("'数据-取费表'!u"&amp;$G$1)</f>
        <v>4</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39093.74</v>
      </c>
      <c r="G7" s="1850"/>
      <c r="H7" s="349"/>
      <c r="I7" s="3178"/>
      <c r="J7" s="351"/>
      <c r="K7" s="352"/>
      <c r="L7" s="347" t="s">
        <v>1402</v>
      </c>
      <c r="M7" s="348">
        <f ca="1">F7</f>
        <v>39093.74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23794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15587</v>
      </c>
      <c r="D14" s="2954" t="s">
        <v>1414</v>
      </c>
      <c r="E14" s="2952"/>
      <c r="F14" s="364"/>
      <c r="G14" s="1850"/>
      <c r="H14" s="1200" t="s">
        <v>1032</v>
      </c>
      <c r="I14" s="347" t="s">
        <v>1415</v>
      </c>
      <c r="J14" s="24">
        <f ca="1">C29</f>
        <v>23794</v>
      </c>
      <c r="K14" s="2959"/>
      <c r="L14" s="978"/>
      <c r="M14" s="979"/>
    </row>
    <row r="15" spans="1:37" s="1857" customFormat="1" ht="18" customHeight="1" thickBot="1">
      <c r="A15" s="1200" t="s">
        <v>1033</v>
      </c>
      <c r="B15" s="347" t="s">
        <v>1416</v>
      </c>
      <c r="C15" s="24">
        <f ca="1">ROUND(C14*F15,0)</f>
        <v>468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565</v>
      </c>
      <c r="K16" s="1336" t="s">
        <v>1421</v>
      </c>
      <c r="L16" s="2955"/>
      <c r="M16" s="1293"/>
    </row>
    <row r="17" spans="1:37" s="1857" customFormat="1" ht="18" customHeight="1">
      <c r="A17" s="1200" t="s">
        <v>1386</v>
      </c>
      <c r="B17" s="347" t="s">
        <v>1422</v>
      </c>
      <c r="C17" s="24">
        <f ca="1">ROUND(F17*(F43+INDIRECT("'数据-取费表'!S"&amp;$G$1))/10000,0)</f>
        <v>891</v>
      </c>
      <c r="D17" s="347" t="s">
        <v>1423</v>
      </c>
      <c r="E17" s="347" t="s">
        <v>1424</v>
      </c>
      <c r="F17" s="26">
        <f>'数据-取费表'!B35</f>
        <v>200</v>
      </c>
      <c r="G17" s="1853"/>
      <c r="H17" s="1200" t="s">
        <v>1032</v>
      </c>
      <c r="I17" s="347" t="s">
        <v>1425</v>
      </c>
      <c r="J17" s="24">
        <f ca="1">ROUND(IF(项目基本情况!B11="自然人",J5*M17,J18+J19+J20),1)</f>
        <v>208.3</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234</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17180</v>
      </c>
      <c r="D19" s="140" t="s">
        <v>1432</v>
      </c>
      <c r="E19" s="2958"/>
      <c r="F19" s="26"/>
      <c r="G19" s="1850"/>
      <c r="H19" s="1200" t="s">
        <v>1033</v>
      </c>
      <c r="I19" s="347" t="s">
        <v>1433</v>
      </c>
      <c r="J19" s="24">
        <f ca="1">IF(K19="按租金收入计税",ROUND(J5*M19,2),ROUND(C29*M19*0.7,2))</f>
        <v>199.87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344</v>
      </c>
      <c r="D20" s="369" t="s">
        <v>1436</v>
      </c>
      <c r="E20" s="347" t="s">
        <v>1418</v>
      </c>
      <c r="F20" s="367">
        <f>'数据-取费表'!B37</f>
        <v>0.02</v>
      </c>
      <c r="G20" s="1853"/>
      <c r="H20" s="1200" t="s">
        <v>1385</v>
      </c>
      <c r="I20" s="164" t="s">
        <v>1437</v>
      </c>
      <c r="J20" s="25">
        <f ca="1">ROUND(M20*M21/10000,2)</f>
        <v>8.4</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7004.08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356.9</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1047</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-565</v>
      </c>
      <c r="K25" s="1344" t="s">
        <v>1460</v>
      </c>
      <c r="L25" s="1345"/>
      <c r="M25" s="1346"/>
    </row>
    <row r="26" spans="1:37">
      <c r="A26" s="1200" t="s">
        <v>1031</v>
      </c>
      <c r="B26" s="347" t="s">
        <v>1461</v>
      </c>
      <c r="C26" s="24">
        <f ca="1">ROUND((C19+C20)*F26,0)</f>
        <v>3505</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23794</v>
      </c>
      <c r="D29" s="1341"/>
      <c r="E29" s="1339"/>
      <c r="F29" s="1342"/>
      <c r="G29" s="1853"/>
      <c r="H29" s="380" t="s">
        <v>1030</v>
      </c>
      <c r="I29" s="381" t="s">
        <v>1475</v>
      </c>
      <c r="J29" s="382">
        <f ca="1">ROUND(J26/(1+F40)^F41,0)</f>
        <v>0</v>
      </c>
      <c r="K29" s="383" t="s">
        <v>1476</v>
      </c>
      <c r="L29" s="384"/>
      <c r="M29" s="385">
        <f ca="1">INDIRECT("'数据-取费表'!k"&amp;$G$1)</f>
        <v>39093.74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1291</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849.4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258.77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582.24</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8.4</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7004.08</v>
      </c>
      <c r="G35" s="1850"/>
      <c r="H35" s="745"/>
      <c r="I35" s="1859"/>
      <c r="J35" s="1860"/>
      <c r="K35" s="1861"/>
      <c r="L35" s="1858"/>
      <c r="M35" s="1858"/>
    </row>
    <row r="36" spans="1:18" ht="18" customHeight="1">
      <c r="A36" s="1351" t="s">
        <v>1036</v>
      </c>
      <c r="B36" s="347" t="s">
        <v>1445</v>
      </c>
      <c r="C36" s="24">
        <f ca="1">ROUND(C29*F36,1)</f>
        <v>356.9</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35.700000000000003</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48.5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3561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72278</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18488</v>
      </c>
      <c r="D43" s="383" t="s">
        <v>1484</v>
      </c>
      <c r="E43" s="384" t="s">
        <v>1485</v>
      </c>
      <c r="F43" s="385">
        <f ca="1">INDIRECT("'数据-取费表'!k"&amp;$G$1)</f>
        <v>39093.74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-106327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72278</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23794</v>
      </c>
      <c r="R49" s="1885" t="s">
        <v>1525</v>
      </c>
    </row>
    <row r="50" spans="1:18" s="1841" customFormat="1" ht="13.5" thickBot="1">
      <c r="A50" s="1194"/>
      <c r="B50" s="1197"/>
      <c r="C50" s="1367"/>
      <c r="D50" s="1171"/>
      <c r="E50" s="1276" t="s">
        <v>1402</v>
      </c>
      <c r="F50" s="1277">
        <f ca="1">F7</f>
        <v>39093.74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23873</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72278</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23794</v>
      </c>
      <c r="D56" s="1913"/>
      <c r="E56" s="1914"/>
      <c r="F56" s="1906"/>
      <c r="I56" s="1915" t="s">
        <v>1550</v>
      </c>
      <c r="J56" s="1916" t="s">
        <v>3070</v>
      </c>
      <c r="K56" s="1886" t="s">
        <v>1551</v>
      </c>
      <c r="L56" s="1889" t="str">
        <f ca="1">IF(L48&lt;J51,"——",L48-J53)</f>
        <v>——</v>
      </c>
      <c r="O56" s="1883" t="s">
        <v>1037</v>
      </c>
      <c r="P56" s="1884" t="s">
        <v>1524</v>
      </c>
      <c r="Q56" s="1885">
        <f ca="1">C40+J29</f>
        <v>72278</v>
      </c>
      <c r="R56" s="1885" t="s">
        <v>1525</v>
      </c>
    </row>
    <row r="57" spans="1:18" s="1841" customFormat="1" ht="24.75" thickBot="1">
      <c r="A57" s="1917"/>
      <c r="B57" s="1168" t="s">
        <v>1474</v>
      </c>
      <c r="C57" s="282">
        <f ca="1">C29</f>
        <v>23794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2400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2007.1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1998.7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8.4</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72278</v>
      </c>
      <c r="R62" s="1885" t="s">
        <v>1044</v>
      </c>
    </row>
    <row r="63" spans="1:18" s="1841" customFormat="1" ht="13.5" thickBot="1">
      <c r="A63" s="372"/>
      <c r="B63" s="1174"/>
      <c r="C63" s="29"/>
      <c r="D63" s="1184"/>
      <c r="E63" s="1168" t="s">
        <v>1495</v>
      </c>
      <c r="F63" s="348">
        <f t="shared" ca="1" si="0"/>
        <v>7004.08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356.9</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35.700000000000003</v>
      </c>
      <c r="D65" s="1182" t="s">
        <v>1450</v>
      </c>
      <c r="E65" s="1168" t="s">
        <v>1451</v>
      </c>
      <c r="F65" s="376">
        <f t="shared" ca="1" si="0"/>
        <v>1.5E-3</v>
      </c>
      <c r="I65" s="1928" t="s">
        <v>1575</v>
      </c>
      <c r="J65" s="1929">
        <v>40</v>
      </c>
      <c r="K65" s="1929">
        <v>30</v>
      </c>
      <c r="L65" s="1929">
        <v>50</v>
      </c>
      <c r="M65" s="1931">
        <v>0.02</v>
      </c>
      <c r="O65" s="1883" t="s">
        <v>1037</v>
      </c>
      <c r="P65" s="1884" t="s">
        <v>1576</v>
      </c>
      <c r="Q65" s="1885">
        <f ca="1">C40+J29</f>
        <v>72278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-2400</v>
      </c>
      <c r="D67" s="1181" t="s">
        <v>1460</v>
      </c>
      <c r="E67" s="1186"/>
      <c r="F67" s="1187"/>
      <c r="O67" s="1893" t="s">
        <v>1039</v>
      </c>
      <c r="P67" s="1884" t="s">
        <v>1558</v>
      </c>
      <c r="Q67" s="1932">
        <f ca="1">L51</f>
        <v>23873</v>
      </c>
      <c r="R67" s="1885" t="s">
        <v>1578</v>
      </c>
    </row>
    <row r="68" spans="1:18" s="1841" customFormat="1" ht="16.5" thickBot="1">
      <c r="A68" s="1165" t="s">
        <v>1029</v>
      </c>
      <c r="B68" s="1166" t="s">
        <v>1481</v>
      </c>
      <c r="C68" s="346">
        <f ca="1">ROUND(C67*(1-((1+F70)/(1+F68))^F69)/(F68-F70),0)</f>
        <v>-34049</v>
      </c>
      <c r="D68" s="1183" t="s">
        <v>1465</v>
      </c>
      <c r="E68" s="1168" t="s">
        <v>1466</v>
      </c>
      <c r="F68" s="357">
        <f ca="1">F40</f>
        <v>0.06</v>
      </c>
      <c r="O68" s="1893" t="s">
        <v>1040</v>
      </c>
      <c r="P68" s="1933" t="s">
        <v>1579</v>
      </c>
      <c r="Q68" s="1885">
        <f ca="1">ROUND(Q69-Q70*Q71,0)</f>
        <v>1539</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3561</v>
      </c>
      <c r="R69" s="1885" t="s">
        <v>1525</v>
      </c>
    </row>
    <row r="70" spans="1:18" s="1841" customFormat="1" ht="13.5" thickBot="1">
      <c r="A70" s="1172"/>
      <c r="B70" s="1173"/>
      <c r="C70" s="355"/>
      <c r="D70" s="1184"/>
      <c r="E70" s="1168" t="s">
        <v>1473</v>
      </c>
      <c r="F70" s="1274"/>
      <c r="O70" s="1893" t="s">
        <v>1046</v>
      </c>
      <c r="P70" s="1933" t="s">
        <v>1581</v>
      </c>
      <c r="Q70" s="1885">
        <f ca="1">C13</f>
        <v>23794</v>
      </c>
      <c r="R70" s="1885" t="s">
        <v>1525</v>
      </c>
    </row>
    <row r="71" spans="1:18" s="1841" customFormat="1" ht="13.5" thickBot="1">
      <c r="A71" s="1189" t="s">
        <v>1030</v>
      </c>
      <c r="B71" s="1190" t="s">
        <v>1483</v>
      </c>
      <c r="C71" s="382">
        <f ca="1">ROUND(C68*10000/F71,0)</f>
        <v>-8710</v>
      </c>
      <c r="D71" s="1191" t="s">
        <v>1484</v>
      </c>
      <c r="E71" s="1192" t="s">
        <v>1485</v>
      </c>
      <c r="F71" s="385">
        <f ca="1">F43</f>
        <v>39093.74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2022</v>
      </c>
      <c r="D75" s="1841"/>
      <c r="E75" s="1841"/>
      <c r="F75" s="1841"/>
      <c r="K75" s="1867"/>
      <c r="L75" s="1841"/>
      <c r="O75" s="1883" t="s">
        <v>1043</v>
      </c>
      <c r="P75" s="1884" t="s">
        <v>1545</v>
      </c>
      <c r="Q75" s="1885">
        <f ca="1">Q65+Q66</f>
        <v>72278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0.43200000000000005</v>
      </c>
    </row>
    <row r="80" spans="1:18">
      <c r="B80" s="386" t="s">
        <v>1507</v>
      </c>
      <c r="C80" s="318">
        <f ca="1">ROUND(C75/C39,3)</f>
        <v>0.56799999999999995</v>
      </c>
    </row>
    <row r="81" spans="2:3">
      <c r="B81" s="314" t="s">
        <v>1508</v>
      </c>
      <c r="C81" s="282"/>
    </row>
    <row r="82" spans="2:3">
      <c r="B82" s="317" t="s">
        <v>1509</v>
      </c>
      <c r="C82" s="319">
        <f ca="1">1-C83</f>
        <v>0.67100000000000004</v>
      </c>
    </row>
    <row r="83" spans="2:3">
      <c r="B83" s="317" t="s">
        <v>1510</v>
      </c>
      <c r="C83" s="318">
        <f ca="1">ROUND(C13/C40,3)</f>
        <v>0.32900000000000001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3101</v>
      </c>
      <c r="D1" s="1819" t="s">
        <v>3095</v>
      </c>
      <c r="E1" s="1820" t="s">
        <v>1383</v>
      </c>
      <c r="F1" s="1282">
        <f ca="1">J53</f>
        <v>32.700000000000003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12625</v>
      </c>
      <c r="C2" s="1844" t="s">
        <v>1512</v>
      </c>
      <c r="D2" s="1844"/>
      <c r="E2" s="1845"/>
      <c r="F2" s="1846"/>
      <c r="G2" s="1847"/>
      <c r="H2" s="1839"/>
      <c r="I2" s="1839"/>
      <c r="J2" s="1839"/>
      <c r="K2" s="1840"/>
      <c r="L2" s="1839"/>
      <c r="M2" s="1839"/>
    </row>
    <row r="3" spans="1:37" ht="18" customHeight="1" thickBot="1">
      <c r="A3" s="1848" t="s">
        <v>1513</v>
      </c>
      <c r="B3" s="1849">
        <f ca="1">IF(ISERROR(B2*10000/F43),0,ROUND(B2*10000/F43,0))</f>
        <v>13347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880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880</v>
      </c>
      <c r="D6" s="164" t="s">
        <v>3030</v>
      </c>
      <c r="E6" s="347" t="s">
        <v>1401</v>
      </c>
      <c r="F6" s="348">
        <f ca="1">INDIRECT("'数据-取费表'!u"&amp;$G$1)</f>
        <v>3</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9459.14</v>
      </c>
      <c r="G7" s="1850"/>
      <c r="H7" s="349"/>
      <c r="I7" s="3178"/>
      <c r="J7" s="351"/>
      <c r="K7" s="352"/>
      <c r="L7" s="347" t="s">
        <v>1402</v>
      </c>
      <c r="M7" s="348">
        <f ca="1">F7</f>
        <v>9459.14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5758</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3772</v>
      </c>
      <c r="D14" s="2954" t="s">
        <v>1414</v>
      </c>
      <c r="E14" s="2952"/>
      <c r="F14" s="364"/>
      <c r="G14" s="1850"/>
      <c r="H14" s="1200" t="s">
        <v>1032</v>
      </c>
      <c r="I14" s="347" t="s">
        <v>1415</v>
      </c>
      <c r="J14" s="24">
        <f ca="1">C29</f>
        <v>5758</v>
      </c>
      <c r="K14" s="2959"/>
      <c r="L14" s="978"/>
      <c r="M14" s="979"/>
    </row>
    <row r="15" spans="1:37" s="1857" customFormat="1" ht="18" customHeight="1" thickBot="1">
      <c r="A15" s="1200" t="s">
        <v>1033</v>
      </c>
      <c r="B15" s="347" t="s">
        <v>1416</v>
      </c>
      <c r="C15" s="24">
        <f ca="1">ROUND(C14*F15,0)</f>
        <v>113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137</v>
      </c>
      <c r="K16" s="1336" t="s">
        <v>1421</v>
      </c>
      <c r="L16" s="2955"/>
      <c r="M16" s="1293"/>
    </row>
    <row r="17" spans="1:37" s="1857" customFormat="1" ht="18" customHeight="1">
      <c r="A17" s="1200" t="s">
        <v>1386</v>
      </c>
      <c r="B17" s="347" t="s">
        <v>1422</v>
      </c>
      <c r="C17" s="24">
        <f ca="1">ROUND(F17*(F43+INDIRECT("'数据-取费表'!S"&amp;$G$1))/10000,0)</f>
        <v>216</v>
      </c>
      <c r="D17" s="347" t="s">
        <v>1423</v>
      </c>
      <c r="E17" s="347" t="s">
        <v>1424</v>
      </c>
      <c r="F17" s="26">
        <f>'数据-取费表'!B35</f>
        <v>200</v>
      </c>
      <c r="G17" s="1853"/>
      <c r="H17" s="1200" t="s">
        <v>1032</v>
      </c>
      <c r="I17" s="347" t="s">
        <v>1425</v>
      </c>
      <c r="J17" s="24">
        <f ca="1">ROUND(IF(项目基本情况!B11="自然人",J5*M17,J18+J19+J20),1)</f>
        <v>50.4</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57</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4158</v>
      </c>
      <c r="D19" s="140" t="s">
        <v>1432</v>
      </c>
      <c r="E19" s="2958"/>
      <c r="F19" s="26"/>
      <c r="G19" s="1850"/>
      <c r="H19" s="1200" t="s">
        <v>1033</v>
      </c>
      <c r="I19" s="347" t="s">
        <v>1433</v>
      </c>
      <c r="J19" s="24">
        <f ca="1">IF(K19="按租金收入计税",ROUND(J5*M19,2),ROUND(C29*M19*0.7,2))</f>
        <v>48.37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83</v>
      </c>
      <c r="D20" s="369" t="s">
        <v>1436</v>
      </c>
      <c r="E20" s="347" t="s">
        <v>1418</v>
      </c>
      <c r="F20" s="367">
        <f>'数据-取费表'!B37</f>
        <v>0.02</v>
      </c>
      <c r="G20" s="1853"/>
      <c r="H20" s="1200" t="s">
        <v>1385</v>
      </c>
      <c r="I20" s="164" t="s">
        <v>1437</v>
      </c>
      <c r="J20" s="25">
        <f ca="1">ROUND(M20*M21/10000,2)</f>
        <v>2.0299999999999998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1694.71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86.4</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253</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-137</v>
      </c>
      <c r="K25" s="1344" t="s">
        <v>1460</v>
      </c>
      <c r="L25" s="1345"/>
      <c r="M25" s="1346"/>
    </row>
    <row r="26" spans="1:37">
      <c r="A26" s="1200" t="s">
        <v>1031</v>
      </c>
      <c r="B26" s="347" t="s">
        <v>1461</v>
      </c>
      <c r="C26" s="24">
        <f ca="1">ROUND((C19+C20)*F26,0)</f>
        <v>848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5758</v>
      </c>
      <c r="D29" s="1341"/>
      <c r="E29" s="1339"/>
      <c r="F29" s="1342"/>
      <c r="G29" s="1853"/>
      <c r="H29" s="380" t="s">
        <v>1030</v>
      </c>
      <c r="I29" s="381" t="s">
        <v>1475</v>
      </c>
      <c r="J29" s="382">
        <f ca="1">ROUND(J26/(1+F40)^F41,0)</f>
        <v>0</v>
      </c>
      <c r="K29" s="383" t="s">
        <v>1476</v>
      </c>
      <c r="L29" s="384"/>
      <c r="M29" s="385">
        <f ca="1">INDIRECT("'数据-取费表'!k"&amp;$G$1)</f>
        <v>9459.14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258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154.6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46.93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105.6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2.0299999999999998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1694.71</v>
      </c>
      <c r="G35" s="1850"/>
      <c r="H35" s="745"/>
      <c r="I35" s="1859"/>
      <c r="J35" s="1860"/>
      <c r="K35" s="1861"/>
      <c r="L35" s="1858"/>
      <c r="M35" s="1858"/>
    </row>
    <row r="36" spans="1:18" ht="18" customHeight="1">
      <c r="A36" s="1351" t="s">
        <v>1036</v>
      </c>
      <c r="B36" s="347" t="s">
        <v>1445</v>
      </c>
      <c r="C36" s="24">
        <f ca="1">ROUND(C29*F36,1)</f>
        <v>86.4</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8.6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8.8000000000000007</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622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12625</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13347</v>
      </c>
      <c r="D43" s="383" t="s">
        <v>1484</v>
      </c>
      <c r="E43" s="384" t="s">
        <v>1485</v>
      </c>
      <c r="F43" s="385">
        <f ca="1">INDIRECT("'数据-取费表'!k"&amp;$G$1)</f>
        <v>9459.14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-20868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12625</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5758</v>
      </c>
      <c r="R49" s="1885" t="s">
        <v>1525</v>
      </c>
    </row>
    <row r="50" spans="1:18" s="1841" customFormat="1" ht="13.5" thickBot="1">
      <c r="A50" s="1194"/>
      <c r="B50" s="1197"/>
      <c r="C50" s="1367"/>
      <c r="D50" s="1171"/>
      <c r="E50" s="1276" t="s">
        <v>1402</v>
      </c>
      <c r="F50" s="1277">
        <f ca="1">F7</f>
        <v>9459.14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2057</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12625</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5758</v>
      </c>
      <c r="D56" s="1913"/>
      <c r="E56" s="1914"/>
      <c r="F56" s="1906"/>
      <c r="I56" s="1915" t="s">
        <v>1550</v>
      </c>
      <c r="J56" s="1916" t="s">
        <v>3070</v>
      </c>
      <c r="K56" s="1886" t="s">
        <v>1551</v>
      </c>
      <c r="L56" s="1889" t="str">
        <f ca="1">IF(L48&lt;J51,"——",L48-J53)</f>
        <v>——</v>
      </c>
      <c r="O56" s="1883" t="s">
        <v>1037</v>
      </c>
      <c r="P56" s="1884" t="s">
        <v>1524</v>
      </c>
      <c r="Q56" s="1885">
        <f ca="1">C40+J29</f>
        <v>12625</v>
      </c>
      <c r="R56" s="1885" t="s">
        <v>1525</v>
      </c>
    </row>
    <row r="57" spans="1:18" s="1841" customFormat="1" ht="24.75" thickBot="1">
      <c r="A57" s="1917"/>
      <c r="B57" s="1168" t="s">
        <v>1474</v>
      </c>
      <c r="C57" s="282">
        <f ca="1">C29</f>
        <v>5758</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581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485.7</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483.67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2.0299999999999998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12625</v>
      </c>
      <c r="R62" s="1885" t="s">
        <v>1044</v>
      </c>
    </row>
    <row r="63" spans="1:18" s="1841" customFormat="1" ht="13.5" thickBot="1">
      <c r="A63" s="372"/>
      <c r="B63" s="1174"/>
      <c r="C63" s="29"/>
      <c r="D63" s="1184"/>
      <c r="E63" s="1168" t="s">
        <v>1495</v>
      </c>
      <c r="F63" s="348">
        <f t="shared" ca="1" si="0"/>
        <v>1694.71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86.4</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8.6</v>
      </c>
      <c r="D65" s="1182" t="s">
        <v>1450</v>
      </c>
      <c r="E65" s="1168" t="s">
        <v>1451</v>
      </c>
      <c r="F65" s="376">
        <f t="shared" ca="1" si="0"/>
        <v>1.5E-3</v>
      </c>
      <c r="I65" s="1928" t="s">
        <v>1575</v>
      </c>
      <c r="J65" s="1929">
        <v>40</v>
      </c>
      <c r="K65" s="1929">
        <v>30</v>
      </c>
      <c r="L65" s="1929">
        <v>50</v>
      </c>
      <c r="M65" s="1931">
        <v>0.02</v>
      </c>
      <c r="O65" s="1883" t="s">
        <v>1037</v>
      </c>
      <c r="P65" s="1884" t="s">
        <v>1576</v>
      </c>
      <c r="Q65" s="1885">
        <f ca="1">C40+J29</f>
        <v>12625</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-581</v>
      </c>
      <c r="D67" s="1181" t="s">
        <v>1460</v>
      </c>
      <c r="E67" s="1186"/>
      <c r="F67" s="1187"/>
      <c r="O67" s="1893" t="s">
        <v>1039</v>
      </c>
      <c r="P67" s="1884" t="s">
        <v>1558</v>
      </c>
      <c r="Q67" s="1932">
        <f ca="1">L51</f>
        <v>2057</v>
      </c>
      <c r="R67" s="1885" t="s">
        <v>1578</v>
      </c>
    </row>
    <row r="68" spans="1:18" s="1841" customFormat="1" ht="16.5" thickBot="1">
      <c r="A68" s="1165" t="s">
        <v>1029</v>
      </c>
      <c r="B68" s="1166" t="s">
        <v>1481</v>
      </c>
      <c r="C68" s="346">
        <f ca="1">ROUND(C67*(1-((1+F70)/(1+F68))^F69)/(F68-F70),0)</f>
        <v>-8243</v>
      </c>
      <c r="D68" s="1183" t="s">
        <v>1465</v>
      </c>
      <c r="E68" s="1168" t="s">
        <v>1466</v>
      </c>
      <c r="F68" s="357">
        <f ca="1">F40</f>
        <v>0.06</v>
      </c>
      <c r="O68" s="1893" t="s">
        <v>1040</v>
      </c>
      <c r="P68" s="1933" t="s">
        <v>1579</v>
      </c>
      <c r="Q68" s="1885">
        <f ca="1">ROUND(Q69-Q70*Q71,0)</f>
        <v>133</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622</v>
      </c>
      <c r="R69" s="1885" t="s">
        <v>1525</v>
      </c>
    </row>
    <row r="70" spans="1:18" s="1841" customFormat="1" ht="13.5" thickBot="1">
      <c r="A70" s="1172"/>
      <c r="B70" s="1173"/>
      <c r="C70" s="355"/>
      <c r="D70" s="1184"/>
      <c r="E70" s="1168" t="s">
        <v>1473</v>
      </c>
      <c r="F70" s="1274"/>
      <c r="O70" s="1893" t="s">
        <v>1046</v>
      </c>
      <c r="P70" s="1933" t="s">
        <v>1581</v>
      </c>
      <c r="Q70" s="1885">
        <f ca="1">C13</f>
        <v>5758</v>
      </c>
      <c r="R70" s="1885" t="s">
        <v>1525</v>
      </c>
    </row>
    <row r="71" spans="1:18" s="1841" customFormat="1" ht="13.5" thickBot="1">
      <c r="A71" s="1189" t="s">
        <v>1030</v>
      </c>
      <c r="B71" s="1190" t="s">
        <v>1483</v>
      </c>
      <c r="C71" s="382">
        <f ca="1">ROUND(C68*10000/F71,0)</f>
        <v>-8714</v>
      </c>
      <c r="D71" s="1191" t="s">
        <v>1484</v>
      </c>
      <c r="E71" s="1192" t="s">
        <v>1485</v>
      </c>
      <c r="F71" s="385">
        <f ca="1">F43</f>
        <v>9459.14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489</v>
      </c>
      <c r="D75" s="1841"/>
      <c r="E75" s="1841"/>
      <c r="F75" s="1841"/>
      <c r="K75" s="1867"/>
      <c r="L75" s="1841"/>
      <c r="O75" s="1883" t="s">
        <v>1043</v>
      </c>
      <c r="P75" s="1884" t="s">
        <v>1545</v>
      </c>
      <c r="Q75" s="1885">
        <f ca="1">Q65+Q66</f>
        <v>12625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0.21399999999999997</v>
      </c>
    </row>
    <row r="80" spans="1:18">
      <c r="B80" s="386" t="s">
        <v>1507</v>
      </c>
      <c r="C80" s="318">
        <f ca="1">ROUND(C75/C39,3)</f>
        <v>0.78600000000000003</v>
      </c>
    </row>
    <row r="81" spans="2:3">
      <c r="B81" s="314" t="s">
        <v>1508</v>
      </c>
      <c r="C81" s="282"/>
    </row>
    <row r="82" spans="2:3">
      <c r="B82" s="317" t="s">
        <v>1509</v>
      </c>
      <c r="C82" s="319">
        <f ca="1">1-C83</f>
        <v>0.54400000000000004</v>
      </c>
    </row>
    <row r="83" spans="2:3">
      <c r="B83" s="317" t="s">
        <v>1510</v>
      </c>
      <c r="C83" s="318">
        <f ca="1">ROUND(C13/C40,3)</f>
        <v>0.45600000000000002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3117</v>
      </c>
      <c r="D1" s="1819" t="s">
        <v>3095</v>
      </c>
      <c r="E1" s="1820" t="s">
        <v>1383</v>
      </c>
      <c r="F1" s="1282">
        <f ca="1">J53</f>
        <v>32.700000000000003</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457</v>
      </c>
      <c r="C2" s="1844" t="s">
        <v>1512</v>
      </c>
      <c r="D2" s="1844"/>
      <c r="E2" s="1845"/>
      <c r="F2" s="1846"/>
      <c r="G2" s="1847"/>
      <c r="H2" s="1839"/>
      <c r="I2" s="1839"/>
      <c r="J2" s="1839"/>
      <c r="K2" s="1840"/>
      <c r="L2" s="1839"/>
      <c r="M2" s="1839"/>
    </row>
    <row r="3" spans="1:37" ht="18" customHeight="1" thickBot="1">
      <c r="A3" s="1848" t="s">
        <v>1513</v>
      </c>
      <c r="B3" s="1849">
        <f ca="1">IF(ISERROR(B2*10000/F43),0,ROUND(B2*10000/F43,0))</f>
        <v>3510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40</v>
      </c>
      <c r="D6" s="164" t="s">
        <v>3030</v>
      </c>
      <c r="E6" s="347" t="s">
        <v>1401</v>
      </c>
      <c r="F6" s="348">
        <f ca="1">INDIRECT("'数据-取费表'!u"&amp;$G$1)</f>
        <v>1</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79" t="s">
        <v>1402</v>
      </c>
      <c r="F7" s="348">
        <f ca="1">IF(INDIRECT("'数据-取费表'!ah"&amp;$G$1)="",INDIRECT("'数据-取费表'!k"&amp;$G$1),INDIRECT("'数据-取费表'!ah"&amp;$G$1))</f>
        <v>1301.8900000000001</v>
      </c>
      <c r="G7" s="1850"/>
      <c r="H7" s="349"/>
      <c r="I7" s="3178"/>
      <c r="J7" s="351"/>
      <c r="K7" s="352"/>
      <c r="L7" s="347" t="s">
        <v>1402</v>
      </c>
      <c r="M7" s="348">
        <f ca="1">F7</f>
        <v>1301.8900000000001</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697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519</v>
      </c>
      <c r="D14" s="2982" t="s">
        <v>1414</v>
      </c>
      <c r="E14" s="2981"/>
      <c r="F14" s="364"/>
      <c r="G14" s="1850"/>
      <c r="H14" s="1200" t="s">
        <v>1032</v>
      </c>
      <c r="I14" s="347" t="s">
        <v>1415</v>
      </c>
      <c r="J14" s="24">
        <f ca="1">C29</f>
        <v>697</v>
      </c>
      <c r="K14" s="2978"/>
      <c r="L14" s="978"/>
      <c r="M14" s="979"/>
    </row>
    <row r="15" spans="1:37" s="1857" customFormat="1" ht="18" customHeight="1" thickBot="1">
      <c r="A15" s="1200" t="s">
        <v>1033</v>
      </c>
      <c r="B15" s="347" t="s">
        <v>1416</v>
      </c>
      <c r="C15" s="24">
        <f ca="1">ROUND(C14*F15,0)</f>
        <v>16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17</v>
      </c>
      <c r="K16" s="1336" t="s">
        <v>1421</v>
      </c>
      <c r="L16" s="2984"/>
      <c r="M16" s="1293"/>
    </row>
    <row r="17" spans="1:37" s="1857" customFormat="1" ht="18" customHeight="1">
      <c r="A17" s="1200" t="s">
        <v>1386</v>
      </c>
      <c r="B17" s="347" t="s">
        <v>1422</v>
      </c>
      <c r="C17" s="24">
        <f ca="1">ROUND(F17*(F43+INDIRECT("'数据-取费表'!S"&amp;$G$1))/10000,0)</f>
        <v>30</v>
      </c>
      <c r="D17" s="347" t="s">
        <v>1423</v>
      </c>
      <c r="E17" s="347" t="s">
        <v>1424</v>
      </c>
      <c r="F17" s="26">
        <f>'数据-取费表'!B35</f>
        <v>200</v>
      </c>
      <c r="G17" s="1853"/>
      <c r="H17" s="1200" t="s">
        <v>1032</v>
      </c>
      <c r="I17" s="347" t="s">
        <v>1425</v>
      </c>
      <c r="J17" s="24">
        <f ca="1">ROUND(IF(项目基本情况!B11="自然人",J5*M17,J18+J19+J20),1)</f>
        <v>6.1</v>
      </c>
      <c r="K17" s="2982" t="s">
        <v>1426</v>
      </c>
      <c r="L17" s="298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8</v>
      </c>
      <c r="D18" s="347" t="s">
        <v>1417</v>
      </c>
      <c r="E18" s="347" t="s">
        <v>1418</v>
      </c>
      <c r="F18" s="367">
        <f>'数据-取费表'!B36</f>
        <v>1.4999999999999999E-2</v>
      </c>
      <c r="G18" s="1853"/>
      <c r="H18" s="1200" t="s">
        <v>1031</v>
      </c>
      <c r="I18" s="347" t="s">
        <v>1429</v>
      </c>
      <c r="J18" s="24">
        <f ca="1">ROUND(J5*M18/(1+'数据-取费表'!C42),2)</f>
        <v>0</v>
      </c>
      <c r="K18" s="298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573</v>
      </c>
      <c r="D19" s="140" t="s">
        <v>1432</v>
      </c>
      <c r="E19" s="2977"/>
      <c r="F19" s="26"/>
      <c r="G19" s="1850"/>
      <c r="H19" s="1200" t="s">
        <v>1033</v>
      </c>
      <c r="I19" s="347" t="s">
        <v>1433</v>
      </c>
      <c r="J19" s="24">
        <f ca="1">IF(K19="按租金收入计税",ROUND(J5*M19,2),ROUND(C29*M19*0.7,2))</f>
        <v>5.85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11</v>
      </c>
      <c r="D20" s="369" t="s">
        <v>1436</v>
      </c>
      <c r="E20" s="347" t="s">
        <v>1418</v>
      </c>
      <c r="F20" s="367">
        <f>'数据-取费表'!B37</f>
        <v>0.02</v>
      </c>
      <c r="G20" s="1853"/>
      <c r="H20" s="1200" t="s">
        <v>1385</v>
      </c>
      <c r="I20" s="164" t="s">
        <v>1437</v>
      </c>
      <c r="J20" s="25">
        <f ca="1">ROUND(M20*M21/10000,2)</f>
        <v>0.28000000000000003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233.25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77"/>
      <c r="F22" s="26"/>
      <c r="G22" s="1850"/>
      <c r="H22" s="1200" t="s">
        <v>1036</v>
      </c>
      <c r="I22" s="347" t="s">
        <v>1445</v>
      </c>
      <c r="J22" s="24">
        <f ca="1">ROUND(J14*M22,1)</f>
        <v>10.5</v>
      </c>
      <c r="K22" s="298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83"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77"/>
      <c r="F25" s="26"/>
      <c r="G25" s="1850"/>
      <c r="H25" s="1328" t="s">
        <v>1028</v>
      </c>
      <c r="I25" s="1343" t="s">
        <v>1459</v>
      </c>
      <c r="J25" s="355">
        <f ca="1">J5-J16</f>
        <v>-17</v>
      </c>
      <c r="K25" s="1344" t="s">
        <v>1460</v>
      </c>
      <c r="L25" s="1345"/>
      <c r="M25" s="1346"/>
    </row>
    <row r="26" spans="1:37">
      <c r="A26" s="1200" t="s">
        <v>1031</v>
      </c>
      <c r="B26" s="347" t="s">
        <v>1461</v>
      </c>
      <c r="C26" s="24">
        <f ca="1">ROUND((C19+C20)*F26,0)</f>
        <v>29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697</v>
      </c>
      <c r="D29" s="1341"/>
      <c r="E29" s="1339"/>
      <c r="F29" s="1342"/>
      <c r="G29" s="1853"/>
      <c r="H29" s="380" t="s">
        <v>1030</v>
      </c>
      <c r="I29" s="381" t="s">
        <v>1475</v>
      </c>
      <c r="J29" s="382">
        <f ca="1">ROUND(J26/(1+F40)^F41,0)</f>
        <v>0</v>
      </c>
      <c r="K29" s="383" t="s">
        <v>1476</v>
      </c>
      <c r="L29" s="384"/>
      <c r="M29" s="385">
        <f ca="1">INDIRECT("'数据-取费表'!k"&amp;$G$1)</f>
        <v>1301.8900000000001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19</v>
      </c>
      <c r="D30" s="1336" t="s">
        <v>1421</v>
      </c>
      <c r="E30" s="2984"/>
      <c r="F30" s="1293"/>
      <c r="G30" s="1850"/>
      <c r="H30" s="745"/>
      <c r="I30" s="746"/>
      <c r="J30" s="747"/>
      <c r="K30" s="748"/>
      <c r="L30" s="749"/>
      <c r="M30" s="750"/>
    </row>
    <row r="31" spans="1:37" ht="18" customHeight="1">
      <c r="A31" s="1200" t="s">
        <v>1032</v>
      </c>
      <c r="B31" s="347" t="s">
        <v>1425</v>
      </c>
      <c r="C31" s="24">
        <f ca="1">ROUND(IF(项目基本情况!B11="自然人",C5*F31,C32+C33+C34),1)</f>
        <v>7.2</v>
      </c>
      <c r="D31" s="2982" t="s">
        <v>1426</v>
      </c>
      <c r="E31" s="298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2.13</v>
      </c>
      <c r="D32" s="298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4.8</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0.28000000000000003</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233.25</v>
      </c>
      <c r="G35" s="1850"/>
      <c r="H35" s="745"/>
      <c r="I35" s="1859"/>
      <c r="J35" s="1860"/>
      <c r="K35" s="1861"/>
      <c r="L35" s="1858"/>
      <c r="M35" s="1858"/>
    </row>
    <row r="36" spans="1:18" ht="18" customHeight="1">
      <c r="A36" s="1351" t="s">
        <v>1036</v>
      </c>
      <c r="B36" s="347" t="s">
        <v>1445</v>
      </c>
      <c r="C36" s="24">
        <f ca="1">ROUND(C29*F36,1)</f>
        <v>10.5</v>
      </c>
      <c r="D36" s="298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v>
      </c>
      <c r="D37" s="2983"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0.4</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21</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457</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3510</v>
      </c>
      <c r="D43" s="383" t="s">
        <v>1484</v>
      </c>
      <c r="E43" s="384" t="s">
        <v>1485</v>
      </c>
      <c r="F43" s="385">
        <f ca="1">INDIRECT("'数据-取费表'!k"&amp;$G$1)</f>
        <v>1301.8900000000001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-1509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0</v>
      </c>
      <c r="M47" s="1837" t="str">
        <f>IF(ISNUMBER(FIND("住宅",C1)),"住宅","非住宅")</f>
        <v>非住宅</v>
      </c>
      <c r="O47" s="1883" t="s">
        <v>1037</v>
      </c>
      <c r="P47" s="1884" t="s">
        <v>1524</v>
      </c>
      <c r="Q47" s="1885">
        <f ca="1">C40+J29</f>
        <v>457</v>
      </c>
      <c r="R47" s="1885" t="s">
        <v>1525</v>
      </c>
    </row>
    <row r="48" spans="1:18" s="1841" customFormat="1" ht="28.5" thickBot="1">
      <c r="A48" s="1359" t="s">
        <v>1132</v>
      </c>
      <c r="B48" s="345" t="s">
        <v>1397</v>
      </c>
      <c r="C48" s="297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3029</v>
      </c>
      <c r="E49" s="1829" t="s">
        <v>1487</v>
      </c>
      <c r="F49" s="1280"/>
      <c r="G49" s="1890"/>
      <c r="H49" s="793"/>
      <c r="I49" s="1886" t="s">
        <v>1530</v>
      </c>
      <c r="J49" s="1891">
        <v>2021</v>
      </c>
      <c r="K49" s="1888" t="s">
        <v>1531</v>
      </c>
      <c r="L49" s="1892"/>
      <c r="O49" s="1893" t="s">
        <v>1039</v>
      </c>
      <c r="P49" s="1884" t="s">
        <v>1532</v>
      </c>
      <c r="Q49" s="1885">
        <f ca="1">C29</f>
        <v>697</v>
      </c>
      <c r="R49" s="1885" t="s">
        <v>1525</v>
      </c>
    </row>
    <row r="50" spans="1:18" s="1841" customFormat="1" ht="13.5" thickBot="1">
      <c r="A50" s="1194"/>
      <c r="B50" s="1197"/>
      <c r="C50" s="1367"/>
      <c r="D50" s="1171"/>
      <c r="E50" s="1276" t="s">
        <v>1402</v>
      </c>
      <c r="F50" s="1277">
        <f ca="1">F7</f>
        <v>1301.8900000000001</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-593</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457</v>
      </c>
      <c r="R53" s="1885" t="s">
        <v>1044</v>
      </c>
    </row>
    <row r="54" spans="1:18" s="1841" customFormat="1" ht="13.5" thickBot="1">
      <c r="A54" s="1405"/>
      <c r="B54" s="1824" t="s">
        <v>1384</v>
      </c>
      <c r="C54" s="1177"/>
      <c r="D54" s="1823"/>
      <c r="E54" s="298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8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697</v>
      </c>
      <c r="D56" s="1913"/>
      <c r="E56" s="1914"/>
      <c r="F56" s="1906"/>
      <c r="I56" s="1915" t="s">
        <v>1550</v>
      </c>
      <c r="J56" s="1916" t="s">
        <v>3070</v>
      </c>
      <c r="K56" s="1886" t="s">
        <v>1551</v>
      </c>
      <c r="L56" s="1889" t="str">
        <f ca="1">IF(L48&lt;J51,"——",L48-J53)</f>
        <v>——</v>
      </c>
      <c r="O56" s="1883" t="s">
        <v>1037</v>
      </c>
      <c r="P56" s="1884" t="s">
        <v>1524</v>
      </c>
      <c r="Q56" s="1885">
        <f ca="1">C40+J29</f>
        <v>457</v>
      </c>
      <c r="R56" s="1885" t="s">
        <v>1525</v>
      </c>
    </row>
    <row r="57" spans="1:18" s="1841" customFormat="1" ht="24.75" thickBot="1">
      <c r="A57" s="1917"/>
      <c r="B57" s="1168" t="s">
        <v>1474</v>
      </c>
      <c r="C57" s="282">
        <f ca="1">C29</f>
        <v>697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70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58.8</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58.55</v>
      </c>
      <c r="D61" s="1827" t="s">
        <v>1434</v>
      </c>
      <c r="E61" s="1168"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0.28000000000000003</v>
      </c>
      <c r="D62" s="1183" t="s">
        <v>1438</v>
      </c>
      <c r="E62" s="1168" t="s">
        <v>1439</v>
      </c>
      <c r="F62" s="371">
        <f t="shared" si="0"/>
        <v>12</v>
      </c>
      <c r="I62" s="1928" t="s">
        <v>1566</v>
      </c>
      <c r="J62" s="1929" t="s">
        <v>1567</v>
      </c>
      <c r="K62" s="1929" t="s">
        <v>1568</v>
      </c>
      <c r="L62" s="1929" t="s">
        <v>1569</v>
      </c>
      <c r="M62" s="1930" t="s">
        <v>1570</v>
      </c>
      <c r="O62" s="1883" t="s">
        <v>1043</v>
      </c>
      <c r="P62" s="1884" t="s">
        <v>1545</v>
      </c>
      <c r="Q62" s="1885">
        <f ca="1">Q56+Q57</f>
        <v>457</v>
      </c>
      <c r="R62" s="1885" t="s">
        <v>1044</v>
      </c>
    </row>
    <row r="63" spans="1:18" s="1841" customFormat="1" ht="13.5" thickBot="1">
      <c r="A63" s="372"/>
      <c r="B63" s="1174"/>
      <c r="C63" s="29"/>
      <c r="D63" s="1184"/>
      <c r="E63" s="1168" t="s">
        <v>1443</v>
      </c>
      <c r="F63" s="348">
        <f t="shared" ca="1" si="0"/>
        <v>233.25</v>
      </c>
      <c r="I63" s="1928" t="s">
        <v>1572</v>
      </c>
      <c r="J63" s="1929">
        <v>70</v>
      </c>
      <c r="K63" s="1929">
        <v>50</v>
      </c>
      <c r="L63" s="1929">
        <v>80</v>
      </c>
      <c r="M63" s="1931">
        <v>0.02</v>
      </c>
      <c r="O63" s="1868" t="s">
        <v>1573</v>
      </c>
      <c r="P63" s="1838"/>
      <c r="Q63" s="1838"/>
      <c r="R63" s="1838"/>
    </row>
    <row r="64" spans="1:18" s="1841" customFormat="1" ht="13.5" thickBot="1">
      <c r="A64" s="1200" t="s">
        <v>1036</v>
      </c>
      <c r="B64" s="1168" t="s">
        <v>1445</v>
      </c>
      <c r="C64" s="24">
        <f ca="1">ROUND(C57*F64,1)</f>
        <v>10.5</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v>
      </c>
      <c r="D65" s="1182" t="s">
        <v>1450</v>
      </c>
      <c r="E65" s="1168" t="s">
        <v>1418</v>
      </c>
      <c r="F65" s="376">
        <f t="shared" ca="1" si="0"/>
        <v>1.5E-3</v>
      </c>
      <c r="I65" s="1928" t="s">
        <v>1575</v>
      </c>
      <c r="J65" s="1929">
        <v>40</v>
      </c>
      <c r="K65" s="1929">
        <v>30</v>
      </c>
      <c r="L65" s="1929">
        <v>50</v>
      </c>
      <c r="M65" s="1931">
        <v>0.02</v>
      </c>
      <c r="O65" s="1883" t="s">
        <v>1037</v>
      </c>
      <c r="P65" s="1884" t="s">
        <v>1524</v>
      </c>
      <c r="Q65" s="1885">
        <f ca="1">C40+J29</f>
        <v>457</v>
      </c>
      <c r="R65" s="1885" t="s">
        <v>1525</v>
      </c>
    </row>
    <row r="66" spans="1:18" s="1841" customFormat="1" ht="16.5"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-70</v>
      </c>
      <c r="D67" s="1181" t="s">
        <v>1460</v>
      </c>
      <c r="E67" s="1186"/>
      <c r="F67" s="1187"/>
      <c r="O67" s="1893" t="s">
        <v>1039</v>
      </c>
      <c r="P67" s="1884" t="s">
        <v>1558</v>
      </c>
      <c r="Q67" s="1932">
        <f ca="1">L51</f>
        <v>-593</v>
      </c>
      <c r="R67" s="1885" t="s">
        <v>1578</v>
      </c>
    </row>
    <row r="68" spans="1:18" s="1841" customFormat="1" ht="16.5" thickBot="1">
      <c r="A68" s="1165" t="s">
        <v>1029</v>
      </c>
      <c r="B68" s="1166" t="s">
        <v>1481</v>
      </c>
      <c r="C68" s="346">
        <f ca="1">ROUND(C67*(1-((1+F70)/(1+F68))^F69)/(F68-F70),0)</f>
        <v>-1052</v>
      </c>
      <c r="D68" s="1183" t="s">
        <v>1465</v>
      </c>
      <c r="E68" s="1168" t="s">
        <v>1466</v>
      </c>
      <c r="F68" s="357">
        <f ca="1">F40</f>
        <v>5.5E-2</v>
      </c>
      <c r="O68" s="1893" t="s">
        <v>1040</v>
      </c>
      <c r="P68" s="1933" t="s">
        <v>1579</v>
      </c>
      <c r="Q68" s="1885">
        <f ca="1">ROUND(Q69-Q70*Q71,0)</f>
        <v>-38</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21</v>
      </c>
      <c r="R69" s="1885" t="s">
        <v>1525</v>
      </c>
    </row>
    <row r="70" spans="1:18" s="1841" customFormat="1" ht="13.5" thickBot="1">
      <c r="A70" s="1172"/>
      <c r="B70" s="1173"/>
      <c r="C70" s="355"/>
      <c r="D70" s="1184"/>
      <c r="E70" s="1168" t="s">
        <v>1473</v>
      </c>
      <c r="F70" s="1274"/>
      <c r="O70" s="1893" t="s">
        <v>1046</v>
      </c>
      <c r="P70" s="1933" t="s">
        <v>1581</v>
      </c>
      <c r="Q70" s="1885">
        <f ca="1">C13</f>
        <v>697</v>
      </c>
      <c r="R70" s="1885" t="s">
        <v>1525</v>
      </c>
    </row>
    <row r="71" spans="1:18" s="1841" customFormat="1" ht="13.5" thickBot="1">
      <c r="A71" s="1189" t="s">
        <v>1030</v>
      </c>
      <c r="B71" s="1190" t="s">
        <v>1483</v>
      </c>
      <c r="C71" s="382">
        <f ca="1">ROUND(C68*10000/F71,0)</f>
        <v>-8081</v>
      </c>
      <c r="D71" s="1191" t="s">
        <v>1484</v>
      </c>
      <c r="E71" s="1192" t="s">
        <v>1485</v>
      </c>
      <c r="F71" s="385">
        <f ca="1">F43</f>
        <v>1301.8900000000001</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59</v>
      </c>
      <c r="D75" s="1841"/>
      <c r="E75" s="1841"/>
      <c r="F75" s="1841"/>
      <c r="K75" s="1867"/>
      <c r="L75" s="1841"/>
      <c r="O75" s="1883" t="s">
        <v>1043</v>
      </c>
      <c r="P75" s="1884" t="s">
        <v>1545</v>
      </c>
      <c r="Q75" s="1885">
        <f ca="1">Q65+Q66</f>
        <v>457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-1.81</v>
      </c>
    </row>
    <row r="80" spans="1:18">
      <c r="B80" s="386" t="s">
        <v>1507</v>
      </c>
      <c r="C80" s="318">
        <f ca="1">ROUND(C75/C39,3)</f>
        <v>2.81</v>
      </c>
    </row>
    <row r="81" spans="2:3">
      <c r="B81" s="314" t="s">
        <v>1508</v>
      </c>
      <c r="C81" s="282"/>
    </row>
    <row r="82" spans="2:3">
      <c r="B82" s="317" t="s">
        <v>1509</v>
      </c>
      <c r="C82" s="319">
        <f ca="1">1-C83</f>
        <v>-0.52499999999999991</v>
      </c>
    </row>
    <row r="83" spans="2:3">
      <c r="B83" s="317" t="s">
        <v>1510</v>
      </c>
      <c r="C83" s="318">
        <f ca="1">ROUND(C13/C40,3)</f>
        <v>1.5249999999999999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3102</v>
      </c>
      <c r="D1" s="1819" t="s">
        <v>3095</v>
      </c>
      <c r="E1" s="1820" t="s">
        <v>1383</v>
      </c>
      <c r="F1" s="1282">
        <f ca="1">J53</f>
        <v>32.700000000000003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261</v>
      </c>
      <c r="C2" s="1844" t="s">
        <v>1512</v>
      </c>
      <c r="D2" s="1844"/>
      <c r="E2" s="1845"/>
      <c r="F2" s="1846"/>
      <c r="G2" s="1847"/>
      <c r="H2" s="1839"/>
      <c r="I2" s="1839"/>
      <c r="J2" s="1839"/>
      <c r="K2" s="1840"/>
      <c r="L2" s="1839"/>
      <c r="M2" s="1839"/>
    </row>
    <row r="3" spans="1:37" ht="18" customHeight="1" thickBot="1">
      <c r="A3" s="1848" t="s">
        <v>1513</v>
      </c>
      <c r="B3" s="1849">
        <f ca="1">IF(ISERROR(B2*10000/F43),0,ROUND(B2*10000/F43,0))</f>
        <v>810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50</v>
      </c>
      <c r="D6" s="164" t="s">
        <v>3030</v>
      </c>
      <c r="E6" s="347" t="s">
        <v>1401</v>
      </c>
      <c r="F6" s="348">
        <f ca="1">INDIRECT("'数据-取费表'!u"&amp;$G$1)</f>
        <v>0.5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3220.52</v>
      </c>
      <c r="G7" s="1850"/>
      <c r="H7" s="349"/>
      <c r="I7" s="3178"/>
      <c r="J7" s="351"/>
      <c r="K7" s="352"/>
      <c r="L7" s="347" t="s">
        <v>1402</v>
      </c>
      <c r="M7" s="348">
        <f ca="1">F7</f>
        <v>3220.52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1723</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1284</v>
      </c>
      <c r="D14" s="2954" t="s">
        <v>1414</v>
      </c>
      <c r="E14" s="2952"/>
      <c r="F14" s="364"/>
      <c r="G14" s="1850"/>
      <c r="H14" s="1200" t="s">
        <v>1032</v>
      </c>
      <c r="I14" s="347" t="s">
        <v>1415</v>
      </c>
      <c r="J14" s="24">
        <f ca="1">C29</f>
        <v>1723</v>
      </c>
      <c r="K14" s="2959"/>
      <c r="L14" s="978"/>
      <c r="M14" s="979"/>
    </row>
    <row r="15" spans="1:37" s="1857" customFormat="1" ht="18" customHeight="1" thickBot="1">
      <c r="A15" s="1200" t="s">
        <v>1033</v>
      </c>
      <c r="B15" s="347" t="s">
        <v>1416</v>
      </c>
      <c r="C15" s="24">
        <f ca="1">ROUND(C14*F15,0)</f>
        <v>39</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41</v>
      </c>
      <c r="K16" s="1336" t="s">
        <v>1421</v>
      </c>
      <c r="L16" s="2955"/>
      <c r="M16" s="1293"/>
    </row>
    <row r="17" spans="1:37" s="1857" customFormat="1" ht="18" customHeight="1">
      <c r="A17" s="1200" t="s">
        <v>1386</v>
      </c>
      <c r="B17" s="347" t="s">
        <v>1422</v>
      </c>
      <c r="C17" s="24">
        <f ca="1">ROUND(F17*(F43+INDIRECT("'数据-取费表'!S"&amp;$G$1))/10000,0)</f>
        <v>73</v>
      </c>
      <c r="D17" s="347" t="s">
        <v>1423</v>
      </c>
      <c r="E17" s="347" t="s">
        <v>1424</v>
      </c>
      <c r="F17" s="26">
        <f>'数据-取费表'!B35</f>
        <v>200</v>
      </c>
      <c r="G17" s="1853"/>
      <c r="H17" s="1200" t="s">
        <v>1032</v>
      </c>
      <c r="I17" s="347" t="s">
        <v>1425</v>
      </c>
      <c r="J17" s="24">
        <f ca="1">ROUND(IF(项目基本情况!B11="自然人",J5*M17,J18+J19+J20),1)</f>
        <v>15.2</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19</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1415</v>
      </c>
      <c r="D19" s="140" t="s">
        <v>1432</v>
      </c>
      <c r="E19" s="2958"/>
      <c r="F19" s="26"/>
      <c r="G19" s="1850"/>
      <c r="H19" s="1200" t="s">
        <v>1033</v>
      </c>
      <c r="I19" s="347" t="s">
        <v>1433</v>
      </c>
      <c r="J19" s="24">
        <f ca="1">IF(K19="按租金收入计税",ROUND(J5*M19,2),ROUND(C29*M19*0.7,2))</f>
        <v>14.47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28</v>
      </c>
      <c r="D20" s="369" t="s">
        <v>1436</v>
      </c>
      <c r="E20" s="347" t="s">
        <v>1418</v>
      </c>
      <c r="F20" s="367">
        <f>'数据-取费表'!B37</f>
        <v>0.02</v>
      </c>
      <c r="G20" s="1853"/>
      <c r="H20" s="1200" t="s">
        <v>1385</v>
      </c>
      <c r="I20" s="164" t="s">
        <v>1437</v>
      </c>
      <c r="J20" s="25">
        <f ca="1">ROUND(M20*M21/10000,2)</f>
        <v>0.69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576.99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25.8</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87</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-41</v>
      </c>
      <c r="K25" s="1344" t="s">
        <v>1460</v>
      </c>
      <c r="L25" s="1345"/>
      <c r="M25" s="1346"/>
    </row>
    <row r="26" spans="1:37">
      <c r="A26" s="1200" t="s">
        <v>1031</v>
      </c>
      <c r="B26" s="347" t="s">
        <v>1461</v>
      </c>
      <c r="C26" s="24">
        <f ca="1">ROUND((C19+C20)*F26,0)</f>
        <v>72</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1723</v>
      </c>
      <c r="D29" s="1341"/>
      <c r="E29" s="1339"/>
      <c r="F29" s="1342"/>
      <c r="G29" s="1853"/>
      <c r="H29" s="380" t="s">
        <v>1030</v>
      </c>
      <c r="I29" s="381" t="s">
        <v>1475</v>
      </c>
      <c r="J29" s="382">
        <f ca="1">ROUND(J26/(1+F40)^F41,0)</f>
        <v>0</v>
      </c>
      <c r="K29" s="383" t="s">
        <v>1476</v>
      </c>
      <c r="L29" s="384"/>
      <c r="M29" s="385">
        <f ca="1">INDIRECT("'数据-取费表'!k"&amp;$G$1)</f>
        <v>3220.52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2.67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0.69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576.99</v>
      </c>
      <c r="G35" s="1850"/>
      <c r="H35" s="745"/>
      <c r="I35" s="1859"/>
      <c r="J35" s="1860"/>
      <c r="K35" s="1861"/>
      <c r="L35" s="1858"/>
      <c r="M35" s="1858"/>
    </row>
    <row r="36" spans="1:18" ht="18" customHeight="1">
      <c r="A36" s="1351" t="s">
        <v>1036</v>
      </c>
      <c r="B36" s="347" t="s">
        <v>1445</v>
      </c>
      <c r="C36" s="24">
        <f ca="1">ROUND(C29*F36,1)</f>
        <v>25.8</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2.6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0.5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12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261</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810</v>
      </c>
      <c r="D43" s="383" t="s">
        <v>1484</v>
      </c>
      <c r="E43" s="384" t="s">
        <v>1485</v>
      </c>
      <c r="F43" s="385">
        <f ca="1">INDIRECT("'数据-取费表'!k"&amp;$G$1)</f>
        <v>3220.52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-2875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261</v>
      </c>
      <c r="R47" s="1885" t="s">
        <v>1525</v>
      </c>
    </row>
    <row r="48" spans="1:18" s="1841" customFormat="1" ht="28.5"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1723</v>
      </c>
      <c r="R49" s="1885" t="s">
        <v>1525</v>
      </c>
    </row>
    <row r="50" spans="1:18" s="1841" customFormat="1" ht="13.5" thickBot="1">
      <c r="A50" s="1194"/>
      <c r="B50" s="1197"/>
      <c r="C50" s="1367"/>
      <c r="D50" s="1171"/>
      <c r="E50" s="1276" t="s">
        <v>1402</v>
      </c>
      <c r="F50" s="1277">
        <f ca="1">F7</f>
        <v>3220.52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-2086</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261</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1723</v>
      </c>
      <c r="D56" s="1913"/>
      <c r="E56" s="1914"/>
      <c r="F56" s="1906"/>
      <c r="I56" s="1915" t="s">
        <v>1550</v>
      </c>
      <c r="J56" s="1916" t="s">
        <v>3070</v>
      </c>
      <c r="K56" s="1886" t="s">
        <v>1551</v>
      </c>
      <c r="L56" s="1889" t="str">
        <f ca="1">IF(L48&lt;J51,"——",L48-J53)</f>
        <v>——</v>
      </c>
      <c r="O56" s="1883" t="s">
        <v>1037</v>
      </c>
      <c r="P56" s="1884" t="s">
        <v>1524</v>
      </c>
      <c r="Q56" s="1885">
        <f ca="1">C40+J29</f>
        <v>261</v>
      </c>
      <c r="R56" s="1885" t="s">
        <v>1525</v>
      </c>
    </row>
    <row r="57" spans="1:18" s="1841" customFormat="1" ht="24.75" thickBot="1">
      <c r="A57" s="1917"/>
      <c r="B57" s="1168" t="s">
        <v>1474</v>
      </c>
      <c r="C57" s="282">
        <f ca="1">C29</f>
        <v>1723</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174</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145.4</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144.72999999999999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0.69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261</v>
      </c>
      <c r="R62" s="1885" t="s">
        <v>1044</v>
      </c>
    </row>
    <row r="63" spans="1:18" s="1841" customFormat="1" ht="13.5" thickBot="1">
      <c r="A63" s="372"/>
      <c r="B63" s="1174"/>
      <c r="C63" s="29"/>
      <c r="D63" s="1184"/>
      <c r="E63" s="1168" t="s">
        <v>1495</v>
      </c>
      <c r="F63" s="348">
        <f t="shared" ca="1" si="0"/>
        <v>576.99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25.8</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2.6</v>
      </c>
      <c r="D65" s="1182" t="s">
        <v>1450</v>
      </c>
      <c r="E65" s="1168" t="s">
        <v>1451</v>
      </c>
      <c r="F65" s="376">
        <f t="shared" ca="1" si="0"/>
        <v>1.5E-3</v>
      </c>
      <c r="I65" s="1928" t="s">
        <v>1575</v>
      </c>
      <c r="J65" s="1929">
        <v>40</v>
      </c>
      <c r="K65" s="1929">
        <v>30</v>
      </c>
      <c r="L65" s="1929">
        <v>50</v>
      </c>
      <c r="M65" s="1931">
        <v>0.02</v>
      </c>
      <c r="O65" s="1883" t="s">
        <v>1037</v>
      </c>
      <c r="P65" s="1884" t="s">
        <v>1576</v>
      </c>
      <c r="Q65" s="1885">
        <f ca="1">C40+J29</f>
        <v>261</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-174</v>
      </c>
      <c r="D67" s="1181" t="s">
        <v>1460</v>
      </c>
      <c r="E67" s="1186"/>
      <c r="F67" s="1187"/>
      <c r="O67" s="1893" t="s">
        <v>1039</v>
      </c>
      <c r="P67" s="1884" t="s">
        <v>1558</v>
      </c>
      <c r="Q67" s="1932">
        <f ca="1">L51</f>
        <v>-2086</v>
      </c>
      <c r="R67" s="1885" t="s">
        <v>1578</v>
      </c>
    </row>
    <row r="68" spans="1:18" s="1841" customFormat="1" ht="16.5" thickBot="1">
      <c r="A68" s="1165" t="s">
        <v>1029</v>
      </c>
      <c r="B68" s="1166" t="s">
        <v>1481</v>
      </c>
      <c r="C68" s="346">
        <f ca="1">ROUND(C67*(1-((1+F70)/(1+F68))^F69)/(F68-F70),0)</f>
        <v>-2614</v>
      </c>
      <c r="D68" s="1183" t="s">
        <v>1465</v>
      </c>
      <c r="E68" s="1168" t="s">
        <v>1466</v>
      </c>
      <c r="F68" s="357">
        <f ca="1">F40</f>
        <v>5.5E-2</v>
      </c>
      <c r="O68" s="1893" t="s">
        <v>1040</v>
      </c>
      <c r="P68" s="1933" t="s">
        <v>1579</v>
      </c>
      <c r="Q68" s="1885">
        <f ca="1">ROUND(Q69-Q70*Q71,0)</f>
        <v>-134</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12</v>
      </c>
      <c r="R69" s="1885" t="s">
        <v>1525</v>
      </c>
    </row>
    <row r="70" spans="1:18" s="1841" customFormat="1" ht="13.5" thickBot="1">
      <c r="A70" s="1172"/>
      <c r="B70" s="1173"/>
      <c r="C70" s="355"/>
      <c r="D70" s="1184"/>
      <c r="E70" s="1168" t="s">
        <v>1473</v>
      </c>
      <c r="F70" s="1274"/>
      <c r="O70" s="1893" t="s">
        <v>1046</v>
      </c>
      <c r="P70" s="1933" t="s">
        <v>1581</v>
      </c>
      <c r="Q70" s="1885">
        <f ca="1">C13</f>
        <v>1723</v>
      </c>
      <c r="R70" s="1885" t="s">
        <v>1525</v>
      </c>
    </row>
    <row r="71" spans="1:18" s="1841" customFormat="1" ht="13.5" thickBot="1">
      <c r="A71" s="1189" t="s">
        <v>1030</v>
      </c>
      <c r="B71" s="1190" t="s">
        <v>1483</v>
      </c>
      <c r="C71" s="382">
        <f ca="1">ROUND(C68*10000/F71,0)</f>
        <v>-8117</v>
      </c>
      <c r="D71" s="1191" t="s">
        <v>1484</v>
      </c>
      <c r="E71" s="1192" t="s">
        <v>1485</v>
      </c>
      <c r="F71" s="385">
        <f ca="1">F43</f>
        <v>3220.52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146</v>
      </c>
      <c r="D75" s="1841"/>
      <c r="E75" s="1841"/>
      <c r="F75" s="1841"/>
      <c r="K75" s="1867"/>
      <c r="L75" s="1841"/>
      <c r="O75" s="1883" t="s">
        <v>1043</v>
      </c>
      <c r="P75" s="1884" t="s">
        <v>1545</v>
      </c>
      <c r="Q75" s="1885">
        <f ca="1">Q65+Q66</f>
        <v>261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-11.167</v>
      </c>
    </row>
    <row r="80" spans="1:18">
      <c r="B80" s="386" t="s">
        <v>1507</v>
      </c>
      <c r="C80" s="318">
        <f ca="1">ROUND(C75/C39,3)</f>
        <v>12.167</v>
      </c>
    </row>
    <row r="81" spans="2:3">
      <c r="B81" s="314" t="s">
        <v>1508</v>
      </c>
      <c r="C81" s="282"/>
    </row>
    <row r="82" spans="2:3">
      <c r="B82" s="317" t="s">
        <v>1509</v>
      </c>
      <c r="C82" s="319">
        <f ca="1">1-C83</f>
        <v>-5.6020000000000003</v>
      </c>
    </row>
    <row r="83" spans="2:3">
      <c r="B83" s="317" t="s">
        <v>1510</v>
      </c>
      <c r="C83" s="318">
        <f ca="1">ROUND(C13/C40,3)</f>
        <v>6.6020000000000003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6"/>
      <c r="C1" s="242"/>
      <c r="D1" s="242"/>
      <c r="E1" s="242"/>
      <c r="F1" s="242"/>
      <c r="G1" s="1378">
        <f>MATCH(B1,'数据-取费表'!A6:A16,0)+5</f>
        <v>12</v>
      </c>
    </row>
    <row r="2" spans="1:9" s="244" customFormat="1" ht="18" customHeight="1">
      <c r="A2" s="245" t="s">
        <v>2329</v>
      </c>
      <c r="B2" s="246">
        <f ca="1">IF(D2="——",C52,C52-E2)</f>
        <v>190492</v>
      </c>
      <c r="C2" s="243" t="s">
        <v>2330</v>
      </c>
      <c r="D2" s="2549" t="s">
        <v>70</v>
      </c>
      <c r="E2" s="1439"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13517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143972</v>
      </c>
      <c r="D5" s="255" t="s">
        <v>2336</v>
      </c>
      <c r="E5" s="256" t="s">
        <v>2337</v>
      </c>
      <c r="F5" s="256" t="s">
        <v>2338</v>
      </c>
      <c r="G5" s="257"/>
    </row>
    <row r="6" spans="1:9" s="258" customFormat="1" ht="13.5" customHeight="1">
      <c r="A6" s="948" t="s">
        <v>2339</v>
      </c>
      <c r="B6" s="259" t="s">
        <v>2340</v>
      </c>
      <c r="C6" s="260">
        <f ca="1">基准地价修正!B2</f>
        <v>139711</v>
      </c>
      <c r="D6" s="261"/>
      <c r="E6" s="262"/>
      <c r="F6" s="262"/>
      <c r="G6" s="263"/>
    </row>
    <row r="7" spans="1:9" s="258" customFormat="1" ht="13.5" customHeight="1">
      <c r="A7" s="948" t="s">
        <v>2341</v>
      </c>
      <c r="B7" s="259" t="s">
        <v>2342</v>
      </c>
      <c r="C7" s="264">
        <f ca="1">ROUND(C6*F7,0)</f>
        <v>4261</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52" t="s">
        <v>3112</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160</v>
      </c>
      <c r="F9" s="265"/>
      <c r="G9" s="2553"/>
      <c r="H9" s="1389"/>
      <c r="I9" s="2554" t="s">
        <v>2346</v>
      </c>
    </row>
    <row r="10" spans="1:9" s="258" customFormat="1" ht="13.5" customHeight="1">
      <c r="A10" s="949" t="s">
        <v>801</v>
      </c>
      <c r="B10" s="268" t="s">
        <v>2347</v>
      </c>
      <c r="C10" s="269">
        <f ca="1">ROUND(D10*E10/10000,0)</f>
        <v>2819</v>
      </c>
      <c r="D10" s="1031">
        <f ca="1">IF(B1="",'数据-汇总表'!E6,IF(INDIRECT("'数据-取费表'!c"&amp;$G$1)="住宅",INDIRECT("'数据-取费表'!s"&amp;$G$1),INDIRECT("'数据-取费表'!k"&amp;$G$1)+INDIRECT("'数据-取费表'!s"&amp;$G$1)))</f>
        <v>140932.81</v>
      </c>
      <c r="E10" s="269">
        <f>'数据-取费表'!B28</f>
        <v>200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t="str">
        <f>IF(G19="已包含在土地取得成本中","0",ROUND(D19*E19/10000,0))</f>
        <v>0</v>
      </c>
      <c r="D19" s="1035">
        <f ca="1">D9+D10</f>
        <v>140932.81</v>
      </c>
      <c r="E19" s="255">
        <f>'数据-取费表'!B31</f>
        <v>100</v>
      </c>
      <c r="F19" s="275"/>
      <c r="G19" s="2552" t="s">
        <v>3113</v>
      </c>
    </row>
    <row r="20" spans="1:7" s="258" customFormat="1" ht="13.5" customHeight="1">
      <c r="A20" s="299" t="s">
        <v>2360</v>
      </c>
      <c r="B20" s="254" t="s">
        <v>2361</v>
      </c>
      <c r="C20" s="276">
        <f ca="1">ROUND((C5+C19)*F20,0)</f>
        <v>2879</v>
      </c>
      <c r="D20" s="276"/>
      <c r="E20" s="276"/>
      <c r="F20" s="277">
        <f>'数据-取费表'!B37</f>
        <v>0.02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3">
        <f ca="1">ROUND(SUM(C23:C25),0)</f>
        <v>4105</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0" t="s">
        <v>2369</v>
      </c>
      <c r="B23" s="259" t="s">
        <v>2370</v>
      </c>
      <c r="C23" s="1354">
        <f ca="1">ROUND(IF('数据-取费表'!B22&lt;=1,C5*F22*'数据-取费表'!B23,C5*(POWER((1+F22),'数据-取费表'!B23)-1)),0)</f>
        <v>4065</v>
      </c>
      <c r="D23" s="282"/>
      <c r="E23" s="282"/>
      <c r="F23" s="283"/>
      <c r="G23" s="284" t="s">
        <v>2371</v>
      </c>
    </row>
    <row r="24" spans="1:7" s="258" customFormat="1" ht="13.5" customHeight="1">
      <c r="A24" s="950" t="s">
        <v>2372</v>
      </c>
      <c r="B24" s="259" t="s">
        <v>2373</v>
      </c>
      <c r="C24" s="1354">
        <f ca="1">ROUND(IF('数据-取费表'!B22&lt;=1,C19*F22*('数据-取费表'!B19/2+'数据-取费表'!B21),C19*(POWER((1+F22),('数据-取费表'!B19/2+'数据-取费表'!B21))-1)),0)</f>
        <v>0</v>
      </c>
      <c r="D24" s="282"/>
      <c r="E24" s="282"/>
      <c r="F24" s="283"/>
      <c r="G24" s="284" t="s">
        <v>2374</v>
      </c>
    </row>
    <row r="25" spans="1:7" s="258" customFormat="1" ht="24">
      <c r="A25" s="950" t="s">
        <v>2375</v>
      </c>
      <c r="B25" s="259" t="s">
        <v>2376</v>
      </c>
      <c r="C25" s="1354">
        <f ca="1">ROUND(IF('数据-取费表'!B22&lt;=1,C20*F22*'数据-取费表'!B23/2,C20*(POWER((1+F22),'数据-取费表'!B23/2)-1)),0)</f>
        <v>40</v>
      </c>
      <c r="D25" s="282"/>
      <c r="E25" s="285"/>
      <c r="F25" s="283"/>
      <c r="G25" s="286" t="s">
        <v>2377</v>
      </c>
    </row>
    <row r="26" spans="1:7" s="258" customFormat="1">
      <c r="A26" s="950"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5992</v>
      </c>
      <c r="D27" s="279">
        <f ca="1">C29</f>
        <v>5.9999999999999995E-4</v>
      </c>
      <c r="E27" s="280" t="s">
        <v>2381</v>
      </c>
      <c r="F27" s="290">
        <f ca="1">IF(B1="",'数据-取费表'!Q16,INDIRECT("'数据-取费表'!q"&amp;$G$1))</f>
        <v>0.17</v>
      </c>
      <c r="G27" s="291" t="s">
        <v>2382</v>
      </c>
    </row>
    <row r="28" spans="1:7" s="258" customFormat="1" ht="13.5" customHeight="1">
      <c r="A28" s="950" t="s">
        <v>791</v>
      </c>
      <c r="B28" s="292" t="s">
        <v>2383</v>
      </c>
      <c r="C28" s="293">
        <f ca="1">ROUND((C5+C19+C20)*F27*'数据-取费表'!B21/'数据-取费表'!B20,0)</f>
        <v>5992</v>
      </c>
      <c r="D28" s="279"/>
      <c r="E28" s="280"/>
      <c r="F28" s="290"/>
      <c r="G28" s="291"/>
    </row>
    <row r="29" spans="1:7" s="258" customFormat="1" ht="13.5" customHeight="1">
      <c r="A29" s="950"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168598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16839</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15304</v>
      </c>
      <c r="D34" s="261"/>
      <c r="E34" s="264"/>
      <c r="F34" s="301">
        <f ca="1">IF('数据-取费表'!B24=0,1,IF(B1="",'数据-取费表'!N16,INDIRECT("'数据-取费表'!n"&amp;$G$1)))</f>
        <v>0.3</v>
      </c>
      <c r="G34" s="263" t="s">
        <v>2393</v>
      </c>
    </row>
    <row r="35" spans="1:7" ht="13.5" customHeight="1">
      <c r="A35" s="950" t="s">
        <v>796</v>
      </c>
      <c r="B35" s="259" t="s">
        <v>2394</v>
      </c>
      <c r="C35" s="264">
        <f ca="1">ROUND(C34*F35,0)</f>
        <v>459</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846</v>
      </c>
      <c r="D37" s="261">
        <f ca="1">D19</f>
        <v>140932.81</v>
      </c>
      <c r="E37" s="293">
        <f>'数据-取费表'!B35</f>
        <v>200</v>
      </c>
      <c r="F37" s="303"/>
      <c r="G37" s="305" t="s">
        <v>2399</v>
      </c>
    </row>
    <row r="38" spans="1:7" ht="13.5" customHeight="1">
      <c r="A38" s="950" t="s">
        <v>799</v>
      </c>
      <c r="B38" s="259" t="s">
        <v>2400</v>
      </c>
      <c r="C38" s="264">
        <f ca="1">ROUND(C34*F38,0)</f>
        <v>230</v>
      </c>
      <c r="D38" s="264"/>
      <c r="E38" s="264"/>
      <c r="F38" s="303">
        <f>'数据-取费表'!B36</f>
        <v>1.4999999999999999E-2</v>
      </c>
      <c r="G38" s="263" t="s">
        <v>2395</v>
      </c>
    </row>
    <row r="39" spans="1:7" s="258" customFormat="1" ht="13.5" customHeight="1">
      <c r="A39" s="299" t="s">
        <v>2401</v>
      </c>
      <c r="B39" s="254" t="s">
        <v>2402</v>
      </c>
      <c r="C39" s="276">
        <f ca="1">ROUND(C33*F20,0)</f>
        <v>337</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241</v>
      </c>
      <c r="D41" s="279">
        <f ca="1">C44</f>
        <v>2.0000000000000001E-4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ROUND(IF('数据-取费表'!B22&lt;=1,C33*F22*'数据-取费表'!B21/2,C33*(POWER((1+F22),'数据-取费表'!B21/2)-1)),0)</f>
        <v>236</v>
      </c>
      <c r="D42" s="282"/>
      <c r="E42" s="282"/>
      <c r="F42" s="283"/>
      <c r="G42" s="3172" t="s">
        <v>2411</v>
      </c>
    </row>
    <row r="43" spans="1:7" ht="13.5" customHeight="1">
      <c r="A43" s="950" t="s">
        <v>792</v>
      </c>
      <c r="B43" s="259" t="s">
        <v>2412</v>
      </c>
      <c r="C43" s="282">
        <f ca="1">ROUND(IF('数据-取费表'!B22&lt;=1,C39*F22*'数据-取费表'!B21/2,C39*(POWER((1+F22),'数据-取费表'!B21/2)-1)),0)</f>
        <v>5</v>
      </c>
      <c r="D43" s="282"/>
      <c r="E43" s="282"/>
      <c r="F43" s="283"/>
      <c r="G43" s="3173"/>
    </row>
    <row r="44" spans="1:7" ht="13.5" customHeight="1">
      <c r="A44" s="950" t="s">
        <v>793</v>
      </c>
      <c r="B44" s="259" t="s">
        <v>2413</v>
      </c>
      <c r="C44" s="282">
        <f ca="1">ROUND(IF('数据-取费表'!B22&lt;=1,C40*F22*'数据-取费表'!B21/2,C40*(POWER((1+F22),'数据-取费表'!B21/2)-1)),4)</f>
        <v>2.0000000000000001E-4</v>
      </c>
      <c r="D44" s="282"/>
      <c r="E44" s="282"/>
      <c r="F44" s="283"/>
      <c r="G44" s="3174"/>
    </row>
    <row r="45" spans="1:7" s="258" customFormat="1" ht="13.5" customHeight="1">
      <c r="A45" s="299" t="s">
        <v>2414</v>
      </c>
      <c r="B45" s="288" t="s">
        <v>2380</v>
      </c>
      <c r="C45" s="289">
        <f ca="1">C46</f>
        <v>2920</v>
      </c>
      <c r="D45" s="279">
        <f ca="1">C47</f>
        <v>2.5999999999999999E-3</v>
      </c>
      <c r="E45" s="280" t="s">
        <v>2406</v>
      </c>
      <c r="F45" s="290"/>
      <c r="G45" s="291" t="s">
        <v>2415</v>
      </c>
    </row>
    <row r="46" spans="1:7" s="258" customFormat="1" ht="13.5" customHeight="1">
      <c r="A46" s="950" t="s">
        <v>791</v>
      </c>
      <c r="B46" s="292" t="s">
        <v>2416</v>
      </c>
      <c r="C46" s="293">
        <f ca="1">ROUND((C33+C39)*F27,0)</f>
        <v>2920</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1727">
        <f>ROUND(F30/(1+'数据-取费表'!C42),4)</f>
        <v>5.33E-2</v>
      </c>
      <c r="D48" s="280" t="s">
        <v>2406</v>
      </c>
      <c r="E48" s="276"/>
      <c r="F48" s="281"/>
      <c r="G48" s="278" t="s">
        <v>2419</v>
      </c>
    </row>
    <row r="49" spans="1:7" ht="16.5" customHeight="1">
      <c r="A49" s="299" t="s">
        <v>2385</v>
      </c>
      <c r="B49" s="254" t="s">
        <v>2420</v>
      </c>
      <c r="C49" s="276">
        <f ca="1">ROUND((C33+C39+C41+C45)/(1-C40-D41-D45-C48),0)</f>
        <v>21894</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21894</v>
      </c>
      <c r="D51" s="276"/>
      <c r="E51" s="276"/>
      <c r="F51" s="308"/>
      <c r="G51" s="278" t="s">
        <v>2427</v>
      </c>
    </row>
    <row r="52" spans="1:7" s="252" customFormat="1" ht="16.5" thickBot="1">
      <c r="A52" s="309" t="s">
        <v>2428</v>
      </c>
      <c r="B52" s="310"/>
      <c r="C52" s="311">
        <f ca="1">C31+C51</f>
        <v>190492</v>
      </c>
      <c r="D52" s="310"/>
      <c r="E52" s="310"/>
      <c r="F52" s="310"/>
      <c r="G52" s="312"/>
    </row>
    <row r="55" spans="1:7" ht="15">
      <c r="B55" s="314" t="s">
        <v>2429</v>
      </c>
      <c r="C55" s="315"/>
    </row>
    <row r="56" spans="1:7">
      <c r="B56" s="317" t="s">
        <v>1509</v>
      </c>
      <c r="C56" s="319">
        <f ca="1">1-C57</f>
        <v>0.88500000000000001</v>
      </c>
    </row>
    <row r="57" spans="1:7">
      <c r="B57" s="317" t="s">
        <v>1510</v>
      </c>
      <c r="C57" s="318">
        <f ca="1">ROUND(C51/C52,3)</f>
        <v>0.115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D9" sqref="D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2803</v>
      </c>
      <c r="B1" s="241"/>
      <c r="C1" s="245" t="s">
        <v>2804</v>
      </c>
      <c r="D1" s="2975">
        <f>SUM(D29:D30,D33:D39)</f>
        <v>123883.8</v>
      </c>
      <c r="E1" s="2719"/>
      <c r="F1" s="2719"/>
      <c r="G1" s="2719"/>
      <c r="H1" s="2719"/>
      <c r="I1" s="2719"/>
      <c r="J1" s="2719"/>
      <c r="K1" s="1369"/>
      <c r="L1" s="2720" t="s">
        <v>2805</v>
      </c>
      <c r="M1" s="1079">
        <f>SUMPRODUCT((区片价!B5:B9=I2)*(区片价!C3:F3=E2)*(区片价!C5:F9))</f>
        <v>0</v>
      </c>
      <c r="N1" s="1082">
        <f>SUMPRODUCT((因素修正幅度!B5:B9=I2)*(因素修正幅度!C3:F3=E2)*(因素修正幅度!C5:F9))</f>
        <v>0</v>
      </c>
      <c r="O1" s="2721"/>
      <c r="P1" s="2721"/>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f ca="1">C26</f>
        <v>139711</v>
      </c>
      <c r="C2" s="2723" t="s">
        <v>2812</v>
      </c>
      <c r="D2" s="2724" t="s">
        <v>2813</v>
      </c>
      <c r="E2" s="2725" t="s">
        <v>1373</v>
      </c>
      <c r="F2" s="2724" t="s">
        <v>2814</v>
      </c>
      <c r="G2" s="2726" t="str">
        <f>IF(E2="商业",项目基本情况!B37,IF(E2="办公",项目基本情况!C37,IF(E2="住宅",项目基本情况!D37,项目基本情况!E37)))</f>
        <v>五级</v>
      </c>
      <c r="H2" s="2724" t="s">
        <v>2815</v>
      </c>
      <c r="I2" s="2726" t="str">
        <f>IF(E2="商业",项目基本情况!B38,IF(E2="办公",项目基本情况!C38,IF(E2="住宅",项目基本情况!D38,项目基本情况!E38)))</f>
        <v>Ⅴ-18</v>
      </c>
      <c r="J2" s="2727"/>
      <c r="K2" s="1369"/>
      <c r="L2" s="2728"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24859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2817</v>
      </c>
      <c r="B3" s="248">
        <f ca="1">ROUND(B2*10000/D1,0)</f>
        <v>11278</v>
      </c>
      <c r="C3" s="2723" t="s">
        <v>2818</v>
      </c>
      <c r="D3" s="2724" t="s">
        <v>2819</v>
      </c>
      <c r="E3" s="2729" t="s">
        <v>3103</v>
      </c>
      <c r="F3" s="2730" t="s">
        <v>2820</v>
      </c>
      <c r="G3" s="915">
        <f>IF(F3="宗地容积率",'数据-汇总表'!I4,IF(F3="估价对象容积率",'数据-汇总表'!I6,'数据-汇总表'!I7))</f>
        <v>3.99</v>
      </c>
      <c r="H3" s="198" t="s">
        <v>2821</v>
      </c>
      <c r="I3" s="943"/>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17844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5"/>
      <c r="B4" s="3276"/>
      <c r="C4" s="3276"/>
      <c r="D4" s="3277"/>
      <c r="E4" s="3277"/>
      <c r="F4" s="3277"/>
      <c r="G4" s="3277"/>
      <c r="H4" s="3277"/>
      <c r="I4" s="3277"/>
      <c r="J4" s="3278"/>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14396</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6">
        <f>ROUND(IF(E2="商业",C6*C7+C16,(IF(E2="住宅",C6*C12+C16,C6+C16))),0)</f>
        <v>12740</v>
      </c>
      <c r="D5" s="1786">
        <f>ROUND(IF(F17="增加",C6+C16,C6-C16),0)</f>
        <v>12740</v>
      </c>
      <c r="E5" s="1786"/>
      <c r="F5" s="2733"/>
      <c r="G5" s="2734"/>
      <c r="H5" s="2734"/>
      <c r="I5" s="2734"/>
      <c r="J5" s="2735"/>
      <c r="K5" s="2736"/>
      <c r="L5" s="2728" t="s">
        <v>2826</v>
      </c>
      <c r="M5" s="1080">
        <f>SUMPRODUCT((区片价!B76:B109=I2)*(区片价!C3:F3=E2)*(区片价!C76:F109))</f>
        <v>12740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11551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2827</v>
      </c>
      <c r="B6" s="2742" t="s">
        <v>2828</v>
      </c>
      <c r="C6" s="917">
        <f>SUMIF(L1:L12,G2,M1:M12)</f>
        <v>12740</v>
      </c>
      <c r="D6" s="2743" t="s">
        <v>2829</v>
      </c>
      <c r="E6" s="2744"/>
      <c r="F6" s="2744"/>
      <c r="G6" s="2745"/>
      <c r="H6" s="2745"/>
      <c r="I6" s="2745"/>
      <c r="J6" s="2746"/>
      <c r="K6" s="1841"/>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9836</v>
      </c>
      <c r="U6" s="1602"/>
      <c r="V6" s="1601">
        <f t="shared" ca="1" si="1"/>
        <v>0</v>
      </c>
      <c r="W6" s="1605"/>
      <c r="X6" s="1605"/>
      <c r="Y6" s="1605"/>
      <c r="Z6" s="1605"/>
      <c r="AA6" s="1605"/>
      <c r="AB6" s="1605"/>
      <c r="AC6" s="2737"/>
      <c r="AD6" s="2738"/>
      <c r="AE6" s="2738"/>
      <c r="AF6" s="2738"/>
      <c r="AG6" s="2738"/>
      <c r="AH6" s="2738"/>
      <c r="AI6" s="2738"/>
      <c r="AJ6" s="2739"/>
    </row>
    <row r="7" spans="1:36" ht="24">
      <c r="A7" s="3279" t="str">
        <f>IF(E2="商业",IF(C8="不临58条商业街","",2),"")</f>
        <v/>
      </c>
      <c r="B7" s="2747" t="s">
        <v>2831</v>
      </c>
      <c r="C7" s="918">
        <f>IF(C8="不临58条商业街",1,ROUND(1+(1.6*E8+1.2*E9+0.8*E10+0.4*E11)*C9,4))</f>
        <v>1</v>
      </c>
      <c r="D7" s="2748" t="s">
        <v>2832</v>
      </c>
      <c r="E7" s="944"/>
      <c r="F7" s="2749"/>
      <c r="G7" s="2750"/>
      <c r="H7" s="2750"/>
      <c r="I7" s="2750"/>
      <c r="J7" s="2751"/>
      <c r="K7" s="1841"/>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8650</v>
      </c>
      <c r="U7" s="1602"/>
      <c r="V7" s="1601">
        <f t="shared" ca="1" si="1"/>
        <v>0</v>
      </c>
      <c r="W7" s="1815" t="s">
        <v>2834</v>
      </c>
      <c r="X7" s="1603" t="str">
        <f>G2</f>
        <v>五级</v>
      </c>
      <c r="Y7" s="1603" t="s">
        <v>2835</v>
      </c>
      <c r="Z7" s="1604">
        <f>G3</f>
        <v>3.99</v>
      </c>
      <c r="AA7" s="1605"/>
      <c r="AB7" s="1605"/>
      <c r="AC7" s="1606"/>
      <c r="AD7" s="1607"/>
      <c r="AE7" s="1607"/>
      <c r="AF7" s="1607"/>
      <c r="AG7" s="1607"/>
      <c r="AH7" s="1607"/>
      <c r="AI7" s="1607"/>
      <c r="AJ7" s="1608"/>
    </row>
    <row r="8" spans="1:36" ht="25.5">
      <c r="A8" s="3280"/>
      <c r="B8" s="198" t="s">
        <v>2836</v>
      </c>
      <c r="C8" s="2752" t="s">
        <v>3121</v>
      </c>
      <c r="D8" s="919" t="s">
        <v>139</v>
      </c>
      <c r="E8" s="920" t="e">
        <f>ROUND(C11/E7,4)</f>
        <v>#DIV/0!</v>
      </c>
      <c r="F8" s="2753" t="s">
        <v>2837</v>
      </c>
      <c r="G8" s="2754"/>
      <c r="H8" s="2754"/>
      <c r="I8" s="2754"/>
      <c r="J8" s="2755"/>
      <c r="K8" s="1369"/>
      <c r="L8" s="2728"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2" t="s">
        <v>2839</v>
      </c>
      <c r="X8" s="3273"/>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0"/>
      <c r="B9" s="198" t="s">
        <v>2852</v>
      </c>
      <c r="C9" s="921">
        <f>SUMIF(修正!C59:C119,C8,修正!E59:E119)</f>
        <v>0</v>
      </c>
      <c r="D9" s="200" t="s">
        <v>140</v>
      </c>
      <c r="E9" s="200" t="e">
        <f>ROUND(C11/E7,4)</f>
        <v>#DIV/0!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4"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0"/>
      <c r="B10" s="198" t="s">
        <v>2857</v>
      </c>
      <c r="C10" s="200">
        <f>SUMIF(修正!C59:C119,C8,修正!F59:F119)</f>
        <v>0</v>
      </c>
      <c r="D10" s="200" t="s">
        <v>141</v>
      </c>
      <c r="E10" s="200" t="e">
        <f>ROUND(C11/E7,4)</f>
        <v>#DIV/0!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0"/>
      <c r="B11" s="2756" t="s">
        <v>2860</v>
      </c>
      <c r="C11" s="922">
        <f>C10/4</f>
        <v>0</v>
      </c>
      <c r="D11" s="922" t="s">
        <v>142</v>
      </c>
      <c r="E11" s="922" t="e">
        <f>ROUND(C11/E7,4)</f>
        <v>#DIV/0!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4" t="s">
        <v>2863</v>
      </c>
      <c r="X11" s="1613" t="s">
        <v>2864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79" t="s">
        <v>2865</v>
      </c>
      <c r="B12" s="2760" t="s">
        <v>2866</v>
      </c>
      <c r="C12" s="918">
        <f>ROUND(C15*D15*E15*F15*G15*H15*I15*J15,4)</f>
        <v>1.2</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4"/>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1"/>
      <c r="B13" s="2766" t="s">
        <v>2870</v>
      </c>
      <c r="C13" s="2767" t="s">
        <v>2871</v>
      </c>
      <c r="D13" s="1807" t="s">
        <v>2872</v>
      </c>
      <c r="E13" s="1807"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74"/>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281"/>
      <c r="B14" s="2770"/>
      <c r="C14" s="2771"/>
      <c r="D14" s="2772"/>
      <c r="E14" s="2772"/>
      <c r="F14" s="2773" t="s">
        <v>3104</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2"/>
      <c r="B15" s="2778" t="s">
        <v>2877</v>
      </c>
      <c r="C15" s="229">
        <f>IF(C14="有",1.1,1)</f>
        <v>1</v>
      </c>
      <c r="D15" s="229">
        <f>IF(D14="有",1.1,1)</f>
        <v>1</v>
      </c>
      <c r="E15" s="229">
        <f>IF(E14="有",1.1,1)</f>
        <v>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9" t="s">
        <v>2882</v>
      </c>
      <c r="B16" s="2747" t="s">
        <v>2883</v>
      </c>
      <c r="C16" s="2937">
        <f>ROUND(IF(F17="与级别开发程度一致",0,(G17-E17)/C17),0)</f>
        <v>0</v>
      </c>
      <c r="D16" s="3293" t="s">
        <v>2887</v>
      </c>
      <c r="E16" s="3294"/>
      <c r="F16" s="3293" t="s">
        <v>2884</v>
      </c>
      <c r="G16" s="3294"/>
      <c r="H16" s="2781" t="s">
        <v>3060</v>
      </c>
      <c r="I16" s="2781" t="s">
        <v>3059</v>
      </c>
      <c r="J16" s="2941" t="s">
        <v>3061</v>
      </c>
      <c r="K16" s="2781" t="s">
        <v>3062</v>
      </c>
      <c r="L16" s="2781" t="s">
        <v>3063</v>
      </c>
      <c r="M16" s="2781" t="s">
        <v>3064</v>
      </c>
      <c r="N16" s="2781" t="s">
        <v>3065</v>
      </c>
      <c r="O16" s="2782" t="s">
        <v>3105</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3"/>
      <c r="B17" s="2948" t="s">
        <v>2886</v>
      </c>
      <c r="C17" s="2949">
        <f>SUMPRODUCT((修正!A2:A5=E2)*(修正!B1:M1=G2)*(修正!B2:M5))</f>
        <v>2.5</v>
      </c>
      <c r="D17" s="229" t="str">
        <f>IF(OR(G2="八级",G2="九级",G2="十级",G2="十一级",G2="十二级"),"五通一平","七通一平")</f>
        <v>七通一平</v>
      </c>
      <c r="E17" s="2938">
        <f>SUMPRODUCT((修正!B1:M1=G2)*(修正!B15:M15))</f>
        <v>300</v>
      </c>
      <c r="F17" s="2939" t="s">
        <v>3106</v>
      </c>
      <c r="G17" s="2940">
        <f>SUM(H17:O17)</f>
        <v>300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50</v>
      </c>
      <c r="N17" s="2949">
        <f>SUMPRODUCT((七通一平=N16)*(修正!B1:M1=G2)*(修正!B6:M14))</f>
        <v>40</v>
      </c>
      <c r="O17" s="2951">
        <f>SUMPRODUCT((七通一平=O16)*(修正!B1:M1=G2)*(修正!B6:M14))</f>
        <v>15</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2889</v>
      </c>
      <c r="C18" s="2944">
        <f>SUMIF(修正!C18:C39,E3,修正!E18:E39)</f>
        <v>0.8</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2890</v>
      </c>
      <c r="C19" s="923">
        <f>ROUND(IF(H19="按公示增长率计算",SUMPRODUCT((地价!A3:A26=YEAR(G19)&amp;"-"&amp;ROUNDUP(MONTH(G19)/3,0))*(地价!X2:AB2=E2)*(地价!X3:AB26)),IF(H19="地价指数",M20/M19,(1+I19)^O19)),4)</f>
        <v>1.3423</v>
      </c>
      <c r="D19" s="2791" t="s">
        <v>2891</v>
      </c>
      <c r="E19" s="924">
        <v>41640</v>
      </c>
      <c r="F19" s="2791" t="s">
        <v>2892</v>
      </c>
      <c r="G19" s="925">
        <f>'数据-取费表'!B2</f>
        <v>43633</v>
      </c>
      <c r="H19" s="2792" t="s">
        <v>3107</v>
      </c>
      <c r="I19" s="926" t="str">
        <f>IF(H19="季度增幅（自定义）",SUMIF(N21:N24,E2,O21:O24),"")</f>
        <v/>
      </c>
      <c r="J19" s="2789"/>
      <c r="K19" s="1376"/>
      <c r="L19" s="2793" t="s">
        <v>2893</v>
      </c>
      <c r="M19" s="1733">
        <f>ROUND(SUMIF(地价!B2:F2,E2,地价!B26:F26),0)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2895</v>
      </c>
      <c r="C20" s="928">
        <f ca="1">ROUND(POWER(1+G20,J20-I20)*(POWER(1+G20,I20)-1)/(POWER(1+G20,J20)-1),4)</f>
        <v>0.95440000000000003</v>
      </c>
      <c r="D20" s="2800" t="s">
        <v>2896</v>
      </c>
      <c r="E20" s="1767">
        <f ca="1">存贷款利率!D4/100</f>
        <v>4.3499999999999997E-2</v>
      </c>
      <c r="F20" s="2800" t="s">
        <v>2888</v>
      </c>
      <c r="G20" s="933">
        <f ca="1">SUMIF(M26:P26,E2,M28:P28)</f>
        <v>5.3999999999999999E-2</v>
      </c>
      <c r="H20" s="2800" t="s">
        <v>2897</v>
      </c>
      <c r="I20" s="934">
        <f>SUMIF('数据-取费表'!C6:C15,E2,'数据-取费表'!F6:F15)/COUNTIF('数据-取费表'!C6:C15,E2)</f>
        <v>34.6</v>
      </c>
      <c r="J20" s="935">
        <f>IF(E2="住宅",70,IF(E2="商业",40,50))</f>
        <v>40</v>
      </c>
      <c r="K20" s="1376"/>
      <c r="L20" s="2801" t="s">
        <v>2898</v>
      </c>
      <c r="M20" s="1734">
        <f>ROUND(SUMPRODUCT((地价!A4:A26=YEAR(G19)&amp;"-"&amp;ROUNDUP(MONTH(G19)/3,0))*(地价!B2:F2=E2)*(地价!B4:F26)),0)</f>
        <v>346</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3120</v>
      </c>
      <c r="C21" s="936">
        <f>IF(B21="容积率修正",IF(G3&lt;=10,D22,J22),C23)</f>
        <v>0.86709999999999998</v>
      </c>
      <c r="D21" s="2807"/>
      <c r="E21" s="2807"/>
      <c r="F21" s="2807"/>
      <c r="G21" s="2807"/>
      <c r="H21" s="2807"/>
      <c r="I21" s="2807"/>
      <c r="J21" s="2808"/>
      <c r="K21" s="1376"/>
      <c r="N21" s="2809" t="s">
        <v>2902</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2903</v>
      </c>
      <c r="B22" s="2810" t="s">
        <v>2904</v>
      </c>
      <c r="C22" s="1809" t="s">
        <v>2905</v>
      </c>
      <c r="D22" s="1809">
        <f>IF(E22=G22,F22,IF(G3&lt;=10,ROUND(F22+(H22-F22)*(G3-E22)/(G22-E22),4),"——"))</f>
        <v>0.86709999999999998</v>
      </c>
      <c r="E22" s="915">
        <f>ROUNDDOWN(G3,1)</f>
        <v>3.9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5">
        <f>ROUNDUP(G3,1)</f>
        <v>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09" t="s">
        <v>155</v>
      </c>
      <c r="J22" s="937" t="str">
        <f>IF(G3&gt;10,D113,"——")</f>
        <v>——</v>
      </c>
      <c r="K22" s="1376"/>
      <c r="N22" s="2809" t="s">
        <v>2906</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2907</v>
      </c>
      <c r="B23" s="2811" t="s">
        <v>2908</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2909</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2910</v>
      </c>
      <c r="C24" s="923">
        <f>SUMIF(A45:A88,E2,B45:B88)</f>
        <v>1.022</v>
      </c>
      <c r="D24" s="2788"/>
      <c r="E24" s="2817"/>
      <c r="F24" s="2817"/>
      <c r="G24" s="2817"/>
      <c r="H24" s="2817"/>
      <c r="I24" s="2817"/>
      <c r="J24" s="2818"/>
      <c r="K24" s="1376"/>
      <c r="N24" s="2819" t="s">
        <v>2911</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2912</v>
      </c>
      <c r="C25" s="929"/>
      <c r="D25" s="2750"/>
      <c r="E25" s="2750"/>
      <c r="F25" s="2821"/>
      <c r="G25" s="2750"/>
      <c r="H25" s="2750"/>
      <c r="I25" s="2750"/>
      <c r="J25" s="2751"/>
      <c r="K25" s="1369"/>
      <c r="N25" s="2822" t="s">
        <v>2913</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2914</v>
      </c>
      <c r="C26" s="206">
        <f ca="1">E29+SUM(E33:E39)</f>
        <v>139711</v>
      </c>
      <c r="D26" s="2824"/>
      <c r="E26" s="2775"/>
      <c r="F26" s="2825"/>
      <c r="G26" s="2775"/>
      <c r="H26" s="2775"/>
      <c r="I26" s="2775"/>
      <c r="J26" s="2826"/>
      <c r="K26" s="1369"/>
      <c r="L26" s="2779" t="s">
        <v>2813</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75" thickBot="1">
      <c r="A27" s="2823"/>
      <c r="B27" s="2827" t="s">
        <v>2915</v>
      </c>
      <c r="C27" s="930">
        <f ca="1">E30+SUM(I33:I39)</f>
        <v>3136</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2916</v>
      </c>
      <c r="C28" s="2834" t="s">
        <v>2917</v>
      </c>
      <c r="D28" s="2834" t="s">
        <v>2918</v>
      </c>
      <c r="E28" s="2835" t="s">
        <v>2919</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2920</v>
      </c>
      <c r="C29" s="206">
        <f ca="1">ROUND(C5*C18*C19*C20*C21*C24,0)</f>
        <v>11571</v>
      </c>
      <c r="D29" s="2839">
        <f>'数据-汇总表'!F31</f>
        <v>109902.25</v>
      </c>
      <c r="E29" s="941">
        <f ca="1">ROUND(C29*D29/10000,0)</f>
        <v>127168</v>
      </c>
      <c r="F29" s="2840" t="s">
        <v>2921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2922</v>
      </c>
      <c r="C30" s="229">
        <f ca="1">ROUND(IF(E2="工业",C29*M39,C29*M38),0)</f>
        <v>2893</v>
      </c>
      <c r="D30" s="2845"/>
      <c r="E30" s="941">
        <f ca="1">ROUND(C30*D30/10000,0)</f>
        <v>0</v>
      </c>
      <c r="F30" s="2846" t="s">
        <v>2923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2917</v>
      </c>
      <c r="D32" s="498" t="s">
        <v>2918</v>
      </c>
      <c r="E32" s="498" t="s">
        <v>2919</v>
      </c>
      <c r="F32" s="388" t="s">
        <v>2927</v>
      </c>
      <c r="G32" s="2854" t="s">
        <v>2917</v>
      </c>
      <c r="H32" s="2854" t="s">
        <v>2918</v>
      </c>
      <c r="I32" s="285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90" t="s">
        <v>2928</v>
      </c>
      <c r="B33" s="2855" t="s">
        <v>2929</v>
      </c>
      <c r="C33" s="206">
        <f ca="1">ROUND(D5*C19*C20*C24*F33,0)</f>
        <v>11676</v>
      </c>
      <c r="D33" s="2839">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1"/>
      <c r="B34" s="2767" t="s">
        <v>2930</v>
      </c>
      <c r="C34" s="206">
        <f ca="1">ROUND(D5*C19*C20*C24*F34,0)</f>
        <v>6672</v>
      </c>
      <c r="D34" s="2839"/>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1"/>
      <c r="B35" s="2767" t="s">
        <v>2931</v>
      </c>
      <c r="C35" s="206">
        <f ca="1">ROUND(D5*C19*C20*C24*F35,0)</f>
        <v>4670</v>
      </c>
      <c r="D35" s="2839"/>
      <c r="E35" s="200">
        <f t="shared" ca="1" si="7"/>
        <v>0</v>
      </c>
      <c r="F35" s="200">
        <f>SUMIF(修正!A45:A56,G2,修正!D45:D56)</f>
        <v>0.28000000000000003</v>
      </c>
      <c r="G35" s="200">
        <f ca="1">ROUND(IF(E2="工业",C35*$M$39,C35*$M$38),0)</f>
        <v>1168</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92"/>
      <c r="B36" s="2767" t="s">
        <v>2932</v>
      </c>
      <c r="C36" s="206">
        <f ca="1">ROUND(D5*C19*C20*C24*F36,0)</f>
        <v>4170</v>
      </c>
      <c r="D36" s="2839"/>
      <c r="E36" s="200">
        <f t="shared" ca="1" si="7"/>
        <v>0</v>
      </c>
      <c r="F36" s="200">
        <f>SUMIF(修正!A45:A56,G2,修正!E45:E56)</f>
        <v>0.25</v>
      </c>
      <c r="G36" s="200">
        <f ca="1">ROUND(IF(E2="工业",C36*$M$39,C36*$M$38),0)</f>
        <v>1043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2933</v>
      </c>
      <c r="C37" s="200">
        <f ca="1">ROUND(D5*C19*C20*C24*F37,0)</f>
        <v>4170</v>
      </c>
      <c r="D37" s="2839"/>
      <c r="E37" s="200">
        <f t="shared" ca="1" si="7"/>
        <v>0</v>
      </c>
      <c r="F37" s="206">
        <f>SUMIF(修正!A45:A56,G2,修正!F45:F56)</f>
        <v>0.25</v>
      </c>
      <c r="G37" s="200">
        <f ca="1">ROUND(IF(E2="工业",C37*$M$39,C37*$M$38),0)</f>
        <v>1043</v>
      </c>
      <c r="H37" s="200">
        <f t="shared" si="8"/>
        <v>0</v>
      </c>
      <c r="I37" s="200">
        <f t="shared" ca="1" si="9"/>
        <v>0</v>
      </c>
      <c r="J37" s="2856"/>
      <c r="K37" s="1369"/>
      <c r="L37" s="2858" t="s">
        <v>2934</v>
      </c>
      <c r="M37" s="2859"/>
      <c r="N37" s="1369"/>
      <c r="O37" s="1369"/>
      <c r="P37" s="1369"/>
      <c r="Q37" s="1369"/>
      <c r="R37" s="1369"/>
      <c r="S37" s="1369"/>
      <c r="T37" s="1369"/>
      <c r="U37" s="1369"/>
      <c r="V37" s="1369"/>
      <c r="W37" s="1369"/>
      <c r="X37" s="1369"/>
      <c r="Y37" s="1369"/>
      <c r="Z37" s="1370"/>
    </row>
    <row r="38" spans="1:37">
      <c r="A38" s="2857"/>
      <c r="B38" s="2767" t="s">
        <v>2935</v>
      </c>
      <c r="C38" s="200">
        <f ca="1">ROUND(D5*C19*C41*C24*F38,0)</f>
        <v>3866</v>
      </c>
      <c r="D38" s="2839">
        <f>'数据-基础表'!S17</f>
        <v>1301.8900000000001</v>
      </c>
      <c r="E38" s="200">
        <f t="shared" ca="1" si="7"/>
        <v>503</v>
      </c>
      <c r="F38" s="206">
        <f>SUMIF(修正!A45:A56,G2,修正!G45:G56)</f>
        <v>0.25</v>
      </c>
      <c r="G38" s="200">
        <f ca="1">ROUND(IF(E2="工业",C38*$M$39,C38*$M$38),0)</f>
        <v>967</v>
      </c>
      <c r="H38" s="200">
        <f t="shared" si="8"/>
        <v>1301.8900000000001</v>
      </c>
      <c r="I38" s="200">
        <f t="shared" ca="1" si="9"/>
        <v>126</v>
      </c>
      <c r="J38" s="2856"/>
      <c r="K38" s="1369"/>
      <c r="L38" s="1886" t="s">
        <v>2936</v>
      </c>
      <c r="M38" s="2860">
        <v>0.25</v>
      </c>
      <c r="N38" s="1369"/>
      <c r="O38" s="1369"/>
      <c r="P38" s="1369"/>
      <c r="Q38" s="1369"/>
      <c r="R38" s="1369"/>
      <c r="S38" s="1369"/>
      <c r="T38" s="1369"/>
      <c r="U38" s="1369"/>
      <c r="V38" s="1369"/>
      <c r="W38" s="1369"/>
      <c r="X38" s="1369"/>
      <c r="Y38" s="1369"/>
      <c r="Z38" s="1370"/>
    </row>
    <row r="39" spans="1:37" ht="13.5" thickBot="1">
      <c r="A39" s="2843"/>
      <c r="B39" s="2861" t="s">
        <v>2937</v>
      </c>
      <c r="C39" s="229">
        <f ca="1">ROUND(D5*C19*C41*C24*F39,0)</f>
        <v>3092</v>
      </c>
      <c r="D39" s="2845">
        <f>'数据-汇总表'!G23</f>
        <v>3220.52</v>
      </c>
      <c r="E39" s="229">
        <f t="shared" ca="1" si="7"/>
        <v>996</v>
      </c>
      <c r="F39" s="931">
        <f>SUMIF(修正!A45:A56,G2,修正!H45:H56)</f>
        <v>0.2</v>
      </c>
      <c r="G39" s="229">
        <f ca="1">ROUND(IF(E2="工业",C39*$M$39,C39*$M$38),0)</f>
        <v>773</v>
      </c>
      <c r="H39" s="229">
        <f t="shared" si="8"/>
        <v>3220.52</v>
      </c>
      <c r="I39" s="229">
        <f t="shared" ca="1" si="9"/>
        <v>249</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f ca="1">ROUND(POWER(1+E41,H41-G41)*(POWER(1+E41,G41)-1)/(POWER(1+E41,H41)-1),4)</f>
        <v>0.88470000000000004</v>
      </c>
      <c r="D41" s="200" t="s">
        <v>2888</v>
      </c>
      <c r="E41" s="2931">
        <f ca="1">G20</f>
        <v>5.3999999999999999E-2</v>
      </c>
      <c r="F41" s="200" t="s">
        <v>2897</v>
      </c>
      <c r="G41" s="218">
        <f ca="1">'数据-取费表'!AE9</f>
        <v>32.700000000000003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2938</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2939</v>
      </c>
      <c r="B46" s="2869">
        <f>1+E48</f>
        <v>1.022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2940</v>
      </c>
      <c r="B47" s="1808" t="s">
        <v>2941</v>
      </c>
      <c r="C47" s="1808" t="s">
        <v>2942</v>
      </c>
      <c r="D47" s="1808" t="s">
        <v>2943</v>
      </c>
      <c r="E47" s="818" t="s">
        <v>2944</v>
      </c>
      <c r="F47" s="2873" t="s">
        <v>2945</v>
      </c>
      <c r="G47" s="1808" t="s">
        <v>754</v>
      </c>
      <c r="H47" s="2874" t="s">
        <v>2946</v>
      </c>
      <c r="I47" s="1808" t="s">
        <v>2947</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2" t="s">
        <v>2948</v>
      </c>
      <c r="B48" s="2875" t="str">
        <f>估价对象房地状况!C4</f>
        <v>估价对象位于XX商圈，周边商业氛围成熟，人流量大，商业繁华度好</v>
      </c>
      <c r="C48" s="2772" t="s">
        <v>3108</v>
      </c>
      <c r="D48" s="1285">
        <f t="shared" ref="D48:D56" si="10">SUMIF($J$47:$N$47,C48,J48:N48)</f>
        <v>0</v>
      </c>
      <c r="E48" s="820">
        <f>ROUND(SUM(D48:D56),4)</f>
        <v>2.1999999999999999E-2</v>
      </c>
      <c r="F48" s="2503">
        <f>IF(E2="商业",SUMIF(L1:L12,G2,N1:N12),"——")</f>
        <v>9.6000000000000002E-2</v>
      </c>
      <c r="G48" s="1283">
        <v>1.5800000000000002E-2</v>
      </c>
      <c r="H48" s="1287">
        <f t="shared" ref="H48:H56" si="11">IFERROR(ROUNDDOWN($F$48*I48/2,4),"——")</f>
        <v>1.5800000000000002E-2</v>
      </c>
      <c r="I48" s="819">
        <v>0.33</v>
      </c>
      <c r="J48" s="1284">
        <f t="shared" ref="J48:J56" si="12">K48+$G48</f>
        <v>3.1600000000000003E-2</v>
      </c>
      <c r="K48" s="1284">
        <f t="shared" ref="K48:K56" si="13">$L48+$G48</f>
        <v>1.5800000000000002E-2</v>
      </c>
      <c r="L48" s="1284">
        <v>0</v>
      </c>
      <c r="M48" s="1284">
        <f t="shared" ref="M48:N56" si="14">L48-$G48</f>
        <v>-1.5800000000000002E-2</v>
      </c>
      <c r="N48" s="1284">
        <f t="shared" si="14"/>
        <v>-3.1600000000000003E-2</v>
      </c>
      <c r="AA48" s="1370"/>
      <c r="AB48" s="1370"/>
      <c r="AC48" s="1370"/>
      <c r="AD48" s="1370"/>
      <c r="AE48" s="1370"/>
      <c r="AF48" s="1370"/>
      <c r="AG48" s="1370"/>
      <c r="AH48" s="1370"/>
      <c r="AI48" s="1370"/>
      <c r="AJ48" s="1370"/>
      <c r="AK48" s="1370"/>
    </row>
    <row r="49" spans="1:37" s="1369" customFormat="1" ht="51">
      <c r="A49" s="2872" t="s">
        <v>2949</v>
      </c>
      <c r="B49" s="2876" t="str">
        <f>估价对象房地状况!C18</f>
        <v>估价对象周边道路状况、公共交通通达情况、停车便捷程度，综合评价交通便捷度较好</v>
      </c>
      <c r="C49" s="2772" t="s">
        <v>3109</v>
      </c>
      <c r="D49" s="1285">
        <f t="shared" si="10"/>
        <v>1.2E-2</v>
      </c>
      <c r="E49" s="821"/>
      <c r="F49" s="2503"/>
      <c r="G49" s="1283">
        <v>1.2E-2</v>
      </c>
      <c r="H49" s="1287">
        <f t="shared" si="11"/>
        <v>1.2E-2</v>
      </c>
      <c r="I49" s="819">
        <v>0.25</v>
      </c>
      <c r="J49" s="1284">
        <f t="shared" si="12"/>
        <v>2.4E-2</v>
      </c>
      <c r="K49" s="1284">
        <f t="shared" si="13"/>
        <v>1.2E-2</v>
      </c>
      <c r="L49" s="1284">
        <v>0</v>
      </c>
      <c r="M49" s="1284">
        <f t="shared" si="14"/>
        <v>-1.2E-2</v>
      </c>
      <c r="N49" s="1284">
        <f t="shared" si="14"/>
        <v>-2.4E-2</v>
      </c>
      <c r="AA49" s="1370"/>
      <c r="AB49" s="1370"/>
      <c r="AC49" s="1370"/>
      <c r="AD49" s="1370"/>
      <c r="AE49" s="1370"/>
      <c r="AF49" s="1370"/>
      <c r="AG49" s="1370"/>
      <c r="AH49" s="1370"/>
      <c r="AI49" s="1370"/>
      <c r="AJ49" s="1370"/>
      <c r="AK49" s="1370"/>
    </row>
    <row r="50" spans="1:37" s="1369" customFormat="1" ht="24">
      <c r="A50" s="2872" t="s">
        <v>2950</v>
      </c>
      <c r="B50" s="2876">
        <f>估价对象房地状况!C19</f>
        <v>0</v>
      </c>
      <c r="C50" s="2772" t="s">
        <v>3109</v>
      </c>
      <c r="D50" s="1285">
        <f t="shared" si="10"/>
        <v>2.3999999999999998E-3</v>
      </c>
      <c r="E50" s="821"/>
      <c r="F50" s="2503"/>
      <c r="G50" s="1283">
        <v>2.3999999999999998E-3</v>
      </c>
      <c r="H50" s="1287">
        <f t="shared" si="11"/>
        <v>2.3999999999999998E-3</v>
      </c>
      <c r="I50" s="819">
        <v>0.05</v>
      </c>
      <c r="J50" s="1284">
        <f t="shared" si="12"/>
        <v>4.7999999999999996E-3</v>
      </c>
      <c r="K50" s="1284">
        <f t="shared" si="13"/>
        <v>2.3999999999999998E-3</v>
      </c>
      <c r="L50" s="1284">
        <v>0</v>
      </c>
      <c r="M50" s="1284">
        <f t="shared" si="14"/>
        <v>-2.3999999999999998E-3</v>
      </c>
      <c r="N50" s="1284">
        <f t="shared" si="14"/>
        <v>-4.7999999999999996E-3</v>
      </c>
      <c r="AA50" s="1370"/>
      <c r="AB50" s="1370"/>
      <c r="AC50" s="1370"/>
      <c r="AD50" s="1370"/>
      <c r="AE50" s="1370"/>
      <c r="AF50" s="1370"/>
      <c r="AG50" s="1370"/>
      <c r="AH50" s="1370"/>
      <c r="AI50" s="1370"/>
      <c r="AJ50" s="1370"/>
      <c r="AK50" s="1370"/>
    </row>
    <row r="51" spans="1:37" s="1369" customFormat="1" ht="36.75">
      <c r="A51" s="2872" t="s">
        <v>2951</v>
      </c>
      <c r="B51" s="2877" t="s">
        <v>2952</v>
      </c>
      <c r="C51" s="2772" t="s">
        <v>3108</v>
      </c>
      <c r="D51" s="1285">
        <f t="shared" si="10"/>
        <v>0</v>
      </c>
      <c r="E51" s="821"/>
      <c r="F51" s="2503"/>
      <c r="G51" s="1283">
        <v>2.3999999999999998E-3</v>
      </c>
      <c r="H51" s="1287">
        <f t="shared" si="11"/>
        <v>2.3999999999999998E-3</v>
      </c>
      <c r="I51" s="819">
        <v>0.05</v>
      </c>
      <c r="J51" s="1284">
        <f t="shared" si="12"/>
        <v>4.7999999999999996E-3</v>
      </c>
      <c r="K51" s="1284">
        <f t="shared" si="13"/>
        <v>2.3999999999999998E-3</v>
      </c>
      <c r="L51" s="1284">
        <v>0</v>
      </c>
      <c r="M51" s="1284">
        <f t="shared" si="14"/>
        <v>-2.3999999999999998E-3</v>
      </c>
      <c r="N51" s="1284">
        <f t="shared" si="14"/>
        <v>-4.7999999999999996E-3</v>
      </c>
      <c r="AA51" s="1370"/>
      <c r="AB51" s="1370"/>
      <c r="AC51" s="1370"/>
      <c r="AD51" s="1370"/>
      <c r="AE51" s="1370"/>
      <c r="AF51" s="1370"/>
      <c r="AG51" s="1370"/>
      <c r="AH51" s="1370"/>
      <c r="AI51" s="1370"/>
      <c r="AJ51" s="1370"/>
      <c r="AK51" s="1370"/>
    </row>
    <row r="52" spans="1:37" s="1369" customFormat="1" ht="24">
      <c r="A52" s="2872" t="s">
        <v>2953</v>
      </c>
      <c r="B52" s="2876">
        <f>估价对象房地状况!C24</f>
        <v>0</v>
      </c>
      <c r="C52" s="2772" t="s">
        <v>3109</v>
      </c>
      <c r="D52" s="1285">
        <f t="shared" si="10"/>
        <v>3.8E-3</v>
      </c>
      <c r="E52" s="821"/>
      <c r="F52" s="2503"/>
      <c r="G52" s="1283">
        <v>3.8E-3</v>
      </c>
      <c r="H52" s="1287">
        <f t="shared" si="11"/>
        <v>3.8E-3</v>
      </c>
      <c r="I52" s="819">
        <v>0.08</v>
      </c>
      <c r="J52" s="1284">
        <f t="shared" si="12"/>
        <v>7.6E-3</v>
      </c>
      <c r="K52" s="1284">
        <f t="shared" si="13"/>
        <v>3.8E-3</v>
      </c>
      <c r="L52" s="1284">
        <v>0</v>
      </c>
      <c r="M52" s="1284">
        <f t="shared" si="14"/>
        <v>-3.8E-3</v>
      </c>
      <c r="N52" s="1284">
        <f t="shared" si="14"/>
        <v>-7.6E-3</v>
      </c>
      <c r="AA52" s="1370"/>
      <c r="AB52" s="1370"/>
      <c r="AC52" s="1370"/>
      <c r="AD52" s="1370"/>
      <c r="AE52" s="1370"/>
      <c r="AF52" s="1370"/>
      <c r="AG52" s="1370"/>
      <c r="AH52" s="1370"/>
      <c r="AI52" s="1370"/>
      <c r="AJ52" s="1370"/>
      <c r="AK52" s="1370"/>
    </row>
    <row r="53" spans="1:37" s="1369" customFormat="1" ht="24">
      <c r="A53" s="2872" t="s">
        <v>2954</v>
      </c>
      <c r="B53" s="2878" t="s">
        <v>2955</v>
      </c>
      <c r="C53" s="2772" t="s">
        <v>3109</v>
      </c>
      <c r="D53" s="1285">
        <f t="shared" si="10"/>
        <v>1.4E-3</v>
      </c>
      <c r="E53" s="821"/>
      <c r="F53" s="2503"/>
      <c r="G53" s="1283">
        <v>1.4E-3</v>
      </c>
      <c r="H53" s="1287">
        <f t="shared" si="11"/>
        <v>1.4E-3</v>
      </c>
      <c r="I53" s="819">
        <v>0.03</v>
      </c>
      <c r="J53" s="1284">
        <f t="shared" si="12"/>
        <v>2.8E-3</v>
      </c>
      <c r="K53" s="1284">
        <f t="shared" si="13"/>
        <v>1.4E-3</v>
      </c>
      <c r="L53" s="1284">
        <v>0</v>
      </c>
      <c r="M53" s="1284">
        <f t="shared" si="14"/>
        <v>-1.4E-3</v>
      </c>
      <c r="N53" s="1284">
        <f t="shared" si="14"/>
        <v>-2.8E-3</v>
      </c>
      <c r="AA53" s="1370"/>
      <c r="AB53" s="1370"/>
      <c r="AC53" s="1370"/>
      <c r="AD53" s="1370"/>
      <c r="AE53" s="1370"/>
      <c r="AF53" s="1370"/>
      <c r="AG53" s="1370"/>
      <c r="AH53" s="1370"/>
      <c r="AI53" s="1370"/>
      <c r="AJ53" s="1370"/>
      <c r="AK53" s="1370"/>
    </row>
    <row r="54" spans="1:37" s="1369" customFormat="1" ht="25.5">
      <c r="A54" s="2879" t="s">
        <v>2956</v>
      </c>
      <c r="B54" s="1724" t="str">
        <f>估价对象房地状况!C21</f>
        <v>估价对象所在区域公共配套设施齐备情况</v>
      </c>
      <c r="C54" s="2772" t="s">
        <v>3109</v>
      </c>
      <c r="D54" s="1285">
        <f t="shared" si="10"/>
        <v>2.3999999999999998E-3</v>
      </c>
      <c r="E54" s="821"/>
      <c r="F54" s="2503"/>
      <c r="G54" s="1283">
        <v>2.3999999999999998E-3</v>
      </c>
      <c r="H54" s="1287">
        <f t="shared" si="11"/>
        <v>2.3999999999999998E-3</v>
      </c>
      <c r="I54" s="819">
        <v>0.05</v>
      </c>
      <c r="J54" s="1284">
        <f t="shared" si="12"/>
        <v>4.7999999999999996E-3</v>
      </c>
      <c r="K54" s="1284">
        <f t="shared" si="13"/>
        <v>2.3999999999999998E-3</v>
      </c>
      <c r="L54" s="1284">
        <v>0</v>
      </c>
      <c r="M54" s="1284">
        <f t="shared" si="14"/>
        <v>-2.3999999999999998E-3</v>
      </c>
      <c r="N54" s="1284">
        <f t="shared" si="14"/>
        <v>-4.7999999999999996E-3</v>
      </c>
      <c r="AA54" s="1370"/>
      <c r="AB54" s="1370"/>
      <c r="AC54" s="1370"/>
      <c r="AD54" s="1370"/>
      <c r="AE54" s="1370"/>
      <c r="AF54" s="1370"/>
      <c r="AG54" s="1370"/>
      <c r="AH54" s="1370"/>
      <c r="AI54" s="1370"/>
      <c r="AJ54" s="1370"/>
      <c r="AK54" s="1370"/>
    </row>
    <row r="55" spans="1:37" s="1369" customFormat="1" ht="25.5">
      <c r="A55" s="2879" t="s">
        <v>2957</v>
      </c>
      <c r="B55" s="2876" t="str">
        <f>估价对象房地状况!C22</f>
        <v>估价对象所在区域基础设施水平</v>
      </c>
      <c r="C55" s="2772" t="s">
        <v>3108</v>
      </c>
      <c r="D55" s="1285">
        <f t="shared" si="10"/>
        <v>0</v>
      </c>
      <c r="E55" s="821"/>
      <c r="F55" s="2503"/>
      <c r="G55" s="1283">
        <v>4.7999999999999996E-3</v>
      </c>
      <c r="H55" s="1287">
        <f t="shared" si="11"/>
        <v>4.7999999999999996E-3</v>
      </c>
      <c r="I55" s="819">
        <v>0.1</v>
      </c>
      <c r="J55" s="1284">
        <f t="shared" si="12"/>
        <v>9.5999999999999992E-3</v>
      </c>
      <c r="K55" s="1284">
        <f t="shared" si="13"/>
        <v>4.7999999999999996E-3</v>
      </c>
      <c r="L55" s="1284">
        <v>0</v>
      </c>
      <c r="M55" s="1284">
        <f t="shared" si="14"/>
        <v>-4.7999999999999996E-3</v>
      </c>
      <c r="N55" s="1284">
        <f t="shared" si="14"/>
        <v>-9.5999999999999992E-3</v>
      </c>
      <c r="AA55" s="1370"/>
      <c r="AB55" s="1370"/>
      <c r="AC55" s="1370"/>
      <c r="AD55" s="1370"/>
      <c r="AE55" s="1370"/>
      <c r="AF55" s="1370"/>
      <c r="AG55" s="1370"/>
      <c r="AH55" s="1370"/>
      <c r="AI55" s="1370"/>
      <c r="AJ55" s="1370"/>
      <c r="AK55" s="1370"/>
    </row>
    <row r="56" spans="1:37" s="1369" customFormat="1" ht="39" thickBot="1">
      <c r="A56" s="2880" t="s">
        <v>2958</v>
      </c>
      <c r="B56" s="2881" t="str">
        <f>估价对象房地状况!C20</f>
        <v>区域自然环境：；人文环境；综合评价环境状况一般</v>
      </c>
      <c r="C56" s="2772" t="s">
        <v>3108</v>
      </c>
      <c r="D56" s="1285">
        <f t="shared" si="10"/>
        <v>0</v>
      </c>
      <c r="E56" s="824"/>
      <c r="F56" s="2503"/>
      <c r="G56" s="1283">
        <v>2.8E-3</v>
      </c>
      <c r="H56" s="1287">
        <f t="shared" si="11"/>
        <v>2.8E-3</v>
      </c>
      <c r="I56" s="823">
        <v>0.06</v>
      </c>
      <c r="J56" s="1284">
        <f t="shared" si="12"/>
        <v>5.5999999999999999E-3</v>
      </c>
      <c r="K56" s="1284">
        <f t="shared" si="13"/>
        <v>2.8E-3</v>
      </c>
      <c r="L56" s="1284">
        <v>0</v>
      </c>
      <c r="M56" s="1284">
        <f t="shared" si="14"/>
        <v>-2.8E-3</v>
      </c>
      <c r="N56" s="1284">
        <f t="shared" si="14"/>
        <v>-5.5999999999999999E-3</v>
      </c>
      <c r="AA56" s="1370"/>
      <c r="AB56" s="1370"/>
      <c r="AC56" s="1370"/>
      <c r="AD56" s="1370"/>
      <c r="AE56" s="1370"/>
      <c r="AF56" s="1370"/>
      <c r="AG56" s="1370"/>
      <c r="AH56" s="1370"/>
      <c r="AI56" s="1370"/>
      <c r="AJ56" s="1370"/>
      <c r="AK56" s="1370"/>
    </row>
    <row r="57" spans="1:37" s="1369" customFormat="1" ht="15">
      <c r="A57" s="2868" t="s">
        <v>2959</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2940</v>
      </c>
      <c r="B58" s="1808"/>
      <c r="C58" s="1808" t="s">
        <v>2942</v>
      </c>
      <c r="D58" s="1808" t="s">
        <v>2943</v>
      </c>
      <c r="E58" s="818" t="s">
        <v>2944</v>
      </c>
      <c r="F58" s="2873" t="s">
        <v>2960</v>
      </c>
      <c r="G58" s="1808" t="s">
        <v>754</v>
      </c>
      <c r="H58" s="2874" t="s">
        <v>2946</v>
      </c>
      <c r="I58" s="1808" t="s">
        <v>2947</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2" t="s">
        <v>2961</v>
      </c>
      <c r="B59" s="2875" t="str">
        <f>估价对象房地状况!C17</f>
        <v>估价对象位于XX商圈，周边办公楼项目较多，入驻率高，办公集聚程度较好</v>
      </c>
      <c r="C59" s="2772"/>
      <c r="D59" s="1285">
        <f t="shared" ref="D59:D67" si="15">SUMIF($J$58:$N$58,C59,J59:N59)</f>
        <v>0</v>
      </c>
      <c r="E59" s="820">
        <f>ROUND(SUM(D59:D67),4)</f>
        <v>0</v>
      </c>
      <c r="F59" s="250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2949</v>
      </c>
      <c r="B60" s="2876" t="str">
        <f>估价对象房地状况!C18</f>
        <v>估价对象周边道路状况、公共交通通达情况、停车便捷程度，综合评价交通便捷度较好</v>
      </c>
      <c r="C60" s="2772"/>
      <c r="D60" s="1285">
        <f t="shared" si="15"/>
        <v>0</v>
      </c>
      <c r="E60" s="821"/>
      <c r="F60" s="250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2950</v>
      </c>
      <c r="B61" s="2876">
        <f>估价对象房地状况!C19</f>
        <v>0</v>
      </c>
      <c r="C61" s="2772"/>
      <c r="D61" s="1285">
        <f t="shared" si="15"/>
        <v>0</v>
      </c>
      <c r="E61" s="821"/>
      <c r="F61" s="250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2951</v>
      </c>
      <c r="B62" s="2877" t="s">
        <v>2952</v>
      </c>
      <c r="C62" s="2772"/>
      <c r="D62" s="1285">
        <f t="shared" si="15"/>
        <v>0</v>
      </c>
      <c r="E62" s="821"/>
      <c r="F62" s="250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2953</v>
      </c>
      <c r="B63" s="2876">
        <f>估价对象房地状况!C24</f>
        <v>0</v>
      </c>
      <c r="C63" s="2772"/>
      <c r="D63" s="1285">
        <f t="shared" si="15"/>
        <v>0</v>
      </c>
      <c r="E63" s="821"/>
      <c r="F63" s="250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2954</v>
      </c>
      <c r="B64" s="2878" t="s">
        <v>2955</v>
      </c>
      <c r="C64" s="2772"/>
      <c r="D64" s="1285">
        <f t="shared" si="15"/>
        <v>0</v>
      </c>
      <c r="E64" s="821"/>
      <c r="F64" s="250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2956</v>
      </c>
      <c r="B65" s="1724" t="str">
        <f>估价对象房地状况!C21</f>
        <v>估价对象所在区域公共配套设施齐备情况</v>
      </c>
      <c r="C65" s="2772"/>
      <c r="D65" s="1285">
        <f t="shared" si="15"/>
        <v>0</v>
      </c>
      <c r="E65" s="821"/>
      <c r="F65" s="250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2957</v>
      </c>
      <c r="B66" s="1724" t="str">
        <f>估价对象房地状况!C22</f>
        <v>估价对象所在区域基础设施水平</v>
      </c>
      <c r="C66" s="2772"/>
      <c r="D66" s="1285">
        <f t="shared" si="15"/>
        <v>0</v>
      </c>
      <c r="E66" s="821"/>
      <c r="F66" s="250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2958</v>
      </c>
      <c r="B67" s="2882" t="str">
        <f>估价对象房地状况!C20</f>
        <v>区域自然环境：；人文环境；综合评价环境状况一般</v>
      </c>
      <c r="C67" s="2772"/>
      <c r="D67" s="1285">
        <f t="shared" si="15"/>
        <v>0</v>
      </c>
      <c r="E67" s="824"/>
      <c r="F67" s="250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2962</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2940</v>
      </c>
      <c r="B69" s="1808"/>
      <c r="C69" s="1808" t="s">
        <v>2942</v>
      </c>
      <c r="D69" s="1808" t="s">
        <v>2943</v>
      </c>
      <c r="E69" s="818" t="s">
        <v>2944</v>
      </c>
      <c r="F69" s="2873" t="s">
        <v>2960</v>
      </c>
      <c r="G69" s="1808" t="s">
        <v>754</v>
      </c>
      <c r="H69" s="2874" t="s">
        <v>2946</v>
      </c>
      <c r="I69" s="1808" t="s">
        <v>2947</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2" t="s">
        <v>2963</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2949</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2950</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2964</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2956</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2957</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2954</v>
      </c>
      <c r="B76" s="2878" t="s">
        <v>2955</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2958</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2965</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2966</v>
      </c>
      <c r="B79" s="2869">
        <f>1+E81</f>
        <v>1</v>
      </c>
      <c r="C79" s="813"/>
      <c r="D79" s="813"/>
      <c r="E79" s="814"/>
      <c r="F79" s="2871"/>
      <c r="G79" s="6"/>
      <c r="H79" s="6"/>
      <c r="I79" s="6"/>
      <c r="J79" s="7"/>
      <c r="K79" s="7"/>
      <c r="L79" s="7"/>
      <c r="M79" s="7"/>
      <c r="N79" s="7"/>
      <c r="Z79" s="2722"/>
      <c r="AA79" s="2790"/>
      <c r="AG79" s="1371"/>
      <c r="AK79" s="2790"/>
    </row>
    <row r="80" spans="1:37" ht="24.75">
      <c r="A80" s="2872" t="s">
        <v>2940</v>
      </c>
      <c r="B80" s="1808"/>
      <c r="C80" s="1808" t="s">
        <v>2942</v>
      </c>
      <c r="D80" s="1808" t="s">
        <v>2943</v>
      </c>
      <c r="E80" s="818" t="s">
        <v>2944</v>
      </c>
      <c r="F80" s="2873" t="s">
        <v>2960</v>
      </c>
      <c r="G80" s="1808" t="s">
        <v>754</v>
      </c>
      <c r="H80" s="2874" t="s">
        <v>2946</v>
      </c>
      <c r="I80" s="1808" t="s">
        <v>2947</v>
      </c>
      <c r="J80" s="603" t="s">
        <v>2596</v>
      </c>
      <c r="K80" s="603" t="s">
        <v>2597</v>
      </c>
      <c r="L80" s="603" t="s">
        <v>2598</v>
      </c>
      <c r="M80" s="603" t="s">
        <v>2599</v>
      </c>
      <c r="N80" s="603" t="s">
        <v>2600</v>
      </c>
      <c r="Z80" s="2722"/>
      <c r="AA80" s="2790"/>
      <c r="AG80" s="1371"/>
      <c r="AK80" s="2790"/>
    </row>
    <row r="81" spans="1:37" ht="38.25">
      <c r="A81" s="2872" t="s">
        <v>2967</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2949</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2950</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2964</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2956</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2957</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2954</v>
      </c>
      <c r="B87" s="2878" t="s">
        <v>2968</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2969</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84" t="s">
        <v>2970</v>
      </c>
      <c r="B90" s="3284"/>
      <c r="C90" s="3284"/>
      <c r="D90" s="3284"/>
      <c r="E90" s="3284"/>
      <c r="F90" s="3284"/>
      <c r="G90" s="3284"/>
      <c r="H90" s="3284"/>
      <c r="I90" s="3284"/>
      <c r="J90" s="3284"/>
      <c r="K90" s="2886"/>
      <c r="L90" s="2886"/>
      <c r="M90" s="2886"/>
      <c r="N90" s="2886"/>
    </row>
    <row r="91" spans="1:37">
      <c r="A91" s="3286" t="s">
        <v>2971</v>
      </c>
      <c r="B91" s="3286" t="s">
        <v>2972</v>
      </c>
      <c r="C91" s="2840" t="s">
        <v>2973</v>
      </c>
      <c r="D91" s="2841"/>
      <c r="E91" s="2841"/>
      <c r="F91" s="2841"/>
      <c r="G91" s="2841"/>
      <c r="H91" s="2841"/>
      <c r="I91" s="2841"/>
      <c r="J91" s="2887"/>
      <c r="K91" s="2888"/>
      <c r="L91" s="2888"/>
      <c r="M91" s="2888"/>
      <c r="N91" s="2888"/>
    </row>
    <row r="92" spans="1:37">
      <c r="A92" s="3286"/>
      <c r="B92" s="328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87"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8"/>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7" t="s">
        <v>2975</v>
      </c>
      <c r="B101" s="2893" t="s">
        <v>2976</v>
      </c>
      <c r="C101" s="2894">
        <f>$G$3</f>
        <v>3.99</v>
      </c>
      <c r="D101" s="2894">
        <f t="shared" ref="D101:N101" si="31">$G$3</f>
        <v>3.99</v>
      </c>
      <c r="E101" s="2894">
        <f t="shared" si="31"/>
        <v>3.99</v>
      </c>
      <c r="F101" s="2894">
        <f t="shared" si="31"/>
        <v>3.99</v>
      </c>
      <c r="G101" s="2894">
        <f t="shared" si="31"/>
        <v>3.99</v>
      </c>
      <c r="H101" s="2894">
        <f t="shared" si="31"/>
        <v>3.99</v>
      </c>
      <c r="I101" s="2894">
        <f t="shared" si="31"/>
        <v>3.99</v>
      </c>
      <c r="J101" s="2894">
        <f t="shared" si="31"/>
        <v>3.99</v>
      </c>
      <c r="K101" s="2894">
        <f t="shared" si="31"/>
        <v>3.99</v>
      </c>
      <c r="L101" s="2894">
        <f t="shared" si="31"/>
        <v>3.99</v>
      </c>
      <c r="M101" s="2894">
        <f t="shared" si="31"/>
        <v>3.99</v>
      </c>
      <c r="N101" s="2894">
        <f t="shared" si="31"/>
        <v>3.99</v>
      </c>
    </row>
    <row r="102" spans="1:14">
      <c r="A102" s="3288"/>
      <c r="B102" s="2889">
        <v>1</v>
      </c>
      <c r="C102" s="2890">
        <f>1.9362/C101</f>
        <v>0.48526315789473679</v>
      </c>
      <c r="D102" s="2890">
        <f>1.9362/D101</f>
        <v>0.48526315789473679</v>
      </c>
      <c r="E102" s="2890">
        <f>1.8629/E101</f>
        <v>0.46689223057644108</v>
      </c>
      <c r="F102" s="2890">
        <f>1.8629/F101</f>
        <v>0.46689223057644108</v>
      </c>
      <c r="G102" s="2890">
        <f>1.8629/G101</f>
        <v>0.46689223057644108</v>
      </c>
      <c r="H102" s="2890">
        <f>1.8629/H101</f>
        <v>0.46689223057644108</v>
      </c>
      <c r="I102" s="2890">
        <f>1.8629/I101</f>
        <v>0.46689223057644108</v>
      </c>
      <c r="J102" s="2890">
        <f>1.942/J101</f>
        <v>0.48671679197994983</v>
      </c>
      <c r="K102" s="2890">
        <f>1.942/K101</f>
        <v>0.48671679197994983</v>
      </c>
      <c r="L102" s="2890">
        <f>1.942/L101</f>
        <v>0.48671679197994983</v>
      </c>
      <c r="M102" s="2890">
        <f>1.942/M101</f>
        <v>0.48671679197994983</v>
      </c>
      <c r="N102" s="2890">
        <f>1.942/N101</f>
        <v>0.48671679197994983</v>
      </c>
    </row>
    <row r="103" spans="1:14">
      <c r="A103" s="3288"/>
      <c r="B103" s="2889">
        <v>2</v>
      </c>
      <c r="C103" s="2890">
        <f>1.4198/C101</f>
        <v>0.35583959899749368</v>
      </c>
      <c r="D103" s="2890">
        <f>1.4198/D101</f>
        <v>0.35583959899749368</v>
      </c>
      <c r="E103" s="2890">
        <f>1.3372/E101</f>
        <v>0.33513784461152879</v>
      </c>
      <c r="F103" s="2890">
        <f>1.3372/F101</f>
        <v>0.33513784461152879</v>
      </c>
      <c r="G103" s="2890">
        <f>1.3372/G101</f>
        <v>0.33513784461152879</v>
      </c>
      <c r="H103" s="2890">
        <f>1.3372/H101</f>
        <v>0.33513784461152879</v>
      </c>
      <c r="I103" s="2890">
        <f>1.3372/I101</f>
        <v>0.33513784461152879</v>
      </c>
      <c r="J103" s="2890">
        <f>1.2799/J101</f>
        <v>0.32077694235588972</v>
      </c>
      <c r="K103" s="2890">
        <f>1.2799/K101</f>
        <v>0.32077694235588972</v>
      </c>
      <c r="L103" s="2890">
        <f>1.2799/L101</f>
        <v>0.32077694235588972</v>
      </c>
      <c r="M103" s="2890">
        <f>1.2799/M101</f>
        <v>0.32077694235588972</v>
      </c>
      <c r="N103" s="2890">
        <f>1.2799/N101</f>
        <v>0.32077694235588972</v>
      </c>
    </row>
    <row r="104" spans="1:14">
      <c r="A104" s="3288"/>
      <c r="B104" s="2889">
        <v>3</v>
      </c>
      <c r="C104" s="2890">
        <f>1.1594/C101</f>
        <v>0.29057644110275688</v>
      </c>
      <c r="D104" s="2890">
        <f>1.1594/D101</f>
        <v>0.29057644110275688</v>
      </c>
      <c r="E104" s="2890">
        <f>1.0788/E101</f>
        <v>0.27037593984962405</v>
      </c>
      <c r="F104" s="2890">
        <f>1.0788/F101</f>
        <v>0.27037593984962405</v>
      </c>
      <c r="G104" s="2890">
        <f>1.0788/G101</f>
        <v>0.27037593984962405</v>
      </c>
      <c r="H104" s="2890">
        <f>1.0788/H101</f>
        <v>0.27037593984962405</v>
      </c>
      <c r="I104" s="2890">
        <f>1.0788/I101</f>
        <v>0.27037593984962405</v>
      </c>
      <c r="J104" s="2890">
        <f>1.0072/J101</f>
        <v>0.25243107769423562</v>
      </c>
      <c r="K104" s="2890">
        <f>1.0072/K101</f>
        <v>0.25243107769423562</v>
      </c>
      <c r="L104" s="2890">
        <f>1.0072/L101</f>
        <v>0.25243107769423562</v>
      </c>
      <c r="M104" s="2890">
        <f>1.0072/M101</f>
        <v>0.25243107769423562</v>
      </c>
      <c r="N104" s="2890">
        <f>1.0072/N101</f>
        <v>0.25243107769423562</v>
      </c>
    </row>
    <row r="105" spans="1:14">
      <c r="A105" s="3288"/>
      <c r="B105" s="2889">
        <v>4</v>
      </c>
      <c r="C105" s="2890">
        <f>0.9622/C101</f>
        <v>0.24115288220551379</v>
      </c>
      <c r="D105" s="2890">
        <f>0.9622/D101</f>
        <v>0.24115288220551379</v>
      </c>
      <c r="E105" s="2890">
        <f>0.8656/E101</f>
        <v>0.2169423558897243</v>
      </c>
      <c r="F105" s="2890">
        <f>0.8656/F101</f>
        <v>0.2169423558897243</v>
      </c>
      <c r="G105" s="2890">
        <f>0.8656/G101</f>
        <v>0.2169423558897243</v>
      </c>
      <c r="H105" s="2890">
        <f>0.8656/H101</f>
        <v>0.2169423558897243</v>
      </c>
      <c r="I105" s="2890">
        <f>0.8656/I101</f>
        <v>0.2169423558897243</v>
      </c>
      <c r="J105" s="2890">
        <f>0.7525/J101</f>
        <v>0.18859649122807015</v>
      </c>
      <c r="K105" s="2890">
        <f>0.7525/K101</f>
        <v>0.18859649122807015</v>
      </c>
      <c r="L105" s="2890">
        <f>0.7525/L101</f>
        <v>0.18859649122807015</v>
      </c>
      <c r="M105" s="2890">
        <f>0.7525/M101</f>
        <v>0.18859649122807015</v>
      </c>
      <c r="N105" s="2890">
        <f>0.7525/N101</f>
        <v>0.18859649122807015</v>
      </c>
    </row>
    <row r="106" spans="1:14">
      <c r="A106" s="3288"/>
      <c r="B106" s="2889">
        <v>5</v>
      </c>
      <c r="C106" s="2890">
        <f>0.8417/C101</f>
        <v>0.21095238095238095</v>
      </c>
      <c r="D106" s="2890">
        <f>0.8417/D101</f>
        <v>0.21095238095238095</v>
      </c>
      <c r="E106" s="2890">
        <f>0.7371/E101</f>
        <v>0.18473684210526314</v>
      </c>
      <c r="F106" s="2890">
        <f>0.7371/F101</f>
        <v>0.18473684210526314</v>
      </c>
      <c r="G106" s="2890">
        <f>0.7371/G101</f>
        <v>0.18473684210526314</v>
      </c>
      <c r="H106" s="2890">
        <f>0.7371/H101</f>
        <v>0.18473684210526314</v>
      </c>
      <c r="I106" s="2890">
        <f>0.7371/I101</f>
        <v>0.18473684210526314</v>
      </c>
      <c r="J106" s="2890">
        <f>0.5659/J101</f>
        <v>0.14182957393483708</v>
      </c>
      <c r="K106" s="2890">
        <f>0.5659/K101</f>
        <v>0.14182957393483708</v>
      </c>
      <c r="L106" s="2890">
        <f>0.5659/L101</f>
        <v>0.14182957393483708</v>
      </c>
      <c r="M106" s="2890">
        <f>0.5659/M101</f>
        <v>0.14182957393483708</v>
      </c>
      <c r="N106" s="2890">
        <f>0.5659/N101</f>
        <v>0.14182957393483708</v>
      </c>
    </row>
    <row r="107" spans="1:14">
      <c r="A107" s="3288"/>
      <c r="B107" s="2889">
        <v>6</v>
      </c>
      <c r="C107" s="2890">
        <f>0.7608/C101</f>
        <v>0.19067669172932331</v>
      </c>
      <c r="D107" s="2890">
        <f>0.7608/D101</f>
        <v>0.19067669172932331</v>
      </c>
      <c r="E107" s="2890">
        <f>0.6482/E101</f>
        <v>0.16245614035087719</v>
      </c>
      <c r="F107" s="2890">
        <f>0.6482/F101</f>
        <v>0.16245614035087719</v>
      </c>
      <c r="G107" s="2890">
        <f>0.6482/G101</f>
        <v>0.16245614035087719</v>
      </c>
      <c r="H107" s="2890">
        <f>0.6482/H101</f>
        <v>0.16245614035087719</v>
      </c>
      <c r="I107" s="2890">
        <f>0.6482/I101</f>
        <v>0.16245614035087719</v>
      </c>
      <c r="J107" s="2890">
        <f>0.4525/J101</f>
        <v>0.11340852130325814</v>
      </c>
      <c r="K107" s="2890">
        <f>0.4525/K101</f>
        <v>0.11340852130325814</v>
      </c>
      <c r="L107" s="2890">
        <f>0.4525/L101</f>
        <v>0.11340852130325814</v>
      </c>
      <c r="M107" s="2890">
        <f>0.4525/M101</f>
        <v>0.11340852130325814</v>
      </c>
      <c r="N107" s="2890">
        <f>0.4525/N101</f>
        <v>0.11340852130325814</v>
      </c>
    </row>
    <row r="108" spans="1:14">
      <c r="A108" s="3288"/>
      <c r="B108" s="3145" t="s">
        <v>2977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9"/>
      <c r="B109" s="3146"/>
      <c r="C109" s="2892">
        <f>(-0.163*(C108^2)-0.59*C108+7617)*(10^(-4))/C101</f>
        <v>0.19090225563909774</v>
      </c>
      <c r="D109" s="2892">
        <f>(-0.163*(D108^2)-0.59*D108+7617)*(10^(-4))/D101</f>
        <v>0.19090225563909774</v>
      </c>
      <c r="E109" s="2892">
        <f>(-0.161*(E108^2)-7.509*E108+6533)*(10^(-4))/E101</f>
        <v>0.16373433583959898</v>
      </c>
      <c r="F109" s="2892">
        <f>(-0.161*(F108^2)-7.509*F108+6533)*(10^(-4))/F101</f>
        <v>0.16373433583959898</v>
      </c>
      <c r="G109" s="2892">
        <f>(-0.161*(G108^2)-7.509*G108+6533)*(10^(-4))/G101</f>
        <v>0.16373433583959898</v>
      </c>
      <c r="H109" s="2892">
        <f>(-0.161*(H108^2)-7.509*H108+6533)*(10^(-4))/H101</f>
        <v>0.16373433583959898</v>
      </c>
      <c r="I109" s="2892">
        <f>(-0.161*(I108^2)-7.509*I108+6533)*(10^(-4))/I101</f>
        <v>0.16373433583959898</v>
      </c>
      <c r="J109" s="2892">
        <f>(-0.214*(J108^2)-21.991*J108+4665)*(10^(-4))/J101</f>
        <v>0.11691729323308271</v>
      </c>
      <c r="K109" s="2892">
        <f>(-0.214*(K108^2)-21.991*K108+4665)*(10^(-4))/K101</f>
        <v>0.11691729323308271</v>
      </c>
      <c r="L109" s="2892">
        <f>(-0.214*(L108^2)-21.991*L108+4665)*(10^(-4))/L101</f>
        <v>0.11691729323308271</v>
      </c>
      <c r="M109" s="2892">
        <f>(-0.214*(M108^2)-21.991*M108+4665)*(10^(-4))/M101</f>
        <v>0.11691729323308271</v>
      </c>
      <c r="N109" s="2892">
        <f>(-0.214*(N108^2)-21.991*N108+4665)*(10^(-4))/N101</f>
        <v>0.11691729323308271</v>
      </c>
    </row>
    <row r="110" spans="1:14">
      <c r="A110" s="3285" t="s">
        <v>2978</v>
      </c>
      <c r="B110" s="3285"/>
      <c r="C110" s="3285"/>
      <c r="D110" s="3285"/>
      <c r="E110" s="3285"/>
      <c r="F110" s="3285"/>
      <c r="G110" s="3285"/>
      <c r="H110" s="3285"/>
      <c r="I110" s="3285"/>
      <c r="J110" s="3285"/>
      <c r="K110" s="2895"/>
      <c r="L110" s="2895"/>
      <c r="M110" s="2895"/>
      <c r="N110" s="2895"/>
    </row>
    <row r="112" spans="1:14" ht="13.5" thickBot="1"/>
    <row r="113" spans="1:13" ht="25.5" thickBot="1">
      <c r="A113" s="902" t="s">
        <v>2979</v>
      </c>
      <c r="B113" s="1286">
        <f>G3</f>
        <v>3.99</v>
      </c>
      <c r="C113" s="903" t="s">
        <v>2980</v>
      </c>
      <c r="D113" s="904">
        <f>SUMPRODUCT((A115:A118=F113)*(B114:M114=H113)*B115:M118)</f>
        <v>0.78959999999999997</v>
      </c>
      <c r="E113" s="2726" t="s">
        <v>2813</v>
      </c>
      <c r="F113" s="2897" t="str">
        <f>E2</f>
        <v>商业</v>
      </c>
      <c r="G113" s="2726" t="s">
        <v>2814</v>
      </c>
      <c r="H113" s="2897" t="str">
        <f>G2</f>
        <v>五级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2879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2880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4" t="s">
        <v>2881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39">
        <f ca="1">结果表!H101</f>
        <v>175915</v>
      </c>
      <c r="E5" s="1958"/>
    </row>
    <row r="6" spans="1:5" ht="15.75">
      <c r="A6" s="1958"/>
      <c r="B6" s="2988"/>
      <c r="C6" s="1961" t="s">
        <v>1620</v>
      </c>
      <c r="D6" s="1039" t="str">
        <f ca="1">NUMBERSTRING(INT(D5*10000),2)&amp;"元整"</f>
        <v>壹拾柒亿伍仟玖佰壹拾伍万元整</v>
      </c>
      <c r="E6" s="1958"/>
    </row>
    <row r="7" spans="1:5" ht="15.75">
      <c r="A7" s="1958"/>
      <c r="B7" s="2993"/>
      <c r="C7" s="1962" t="s">
        <v>1621</v>
      </c>
      <c r="D7" s="1040">
        <f ca="1">结果表!H102</f>
        <v>12482</v>
      </c>
      <c r="E7" s="1958"/>
    </row>
    <row r="8" spans="1:5" ht="15.75">
      <c r="A8" s="1958"/>
      <c r="B8" s="2994" t="str">
        <f>结果表!E103</f>
        <v>2.估价师知悉的法定优先受偿款</v>
      </c>
      <c r="C8" s="1963" t="s">
        <v>1622</v>
      </c>
      <c r="D8" s="1040">
        <f>结果表!H103</f>
        <v>0</v>
      </c>
      <c r="E8" s="1958"/>
    </row>
    <row r="9" spans="1:5" ht="15.75">
      <c r="A9" s="1958"/>
      <c r="B9" s="299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87" t="str">
        <f>结果表!E107</f>
        <v>3.房地产抵押价值</v>
      </c>
      <c r="C13" s="1966" t="s">
        <v>1619</v>
      </c>
      <c r="D13" s="1042">
        <f ca="1">结果表!H107</f>
        <v>175915</v>
      </c>
      <c r="E13" s="1958"/>
    </row>
    <row r="14" spans="1:5" ht="15.75">
      <c r="A14" s="1958"/>
      <c r="B14" s="2988"/>
      <c r="C14" s="1961" t="s">
        <v>1620</v>
      </c>
      <c r="D14" s="1039" t="str">
        <f ca="1">NUMBERSTRING(INT(D13*10000),2)&amp;"元整"</f>
        <v>壹拾柒亿伍仟玖佰壹拾伍万元整</v>
      </c>
      <c r="E14" s="1958"/>
    </row>
    <row r="15" spans="1:5" ht="15">
      <c r="A15" s="1958"/>
      <c r="B15" s="2993"/>
      <c r="C15" s="1962" t="s">
        <v>1630</v>
      </c>
      <c r="D15" s="1051">
        <f ca="1">结果表!H108</f>
        <v>12482</v>
      </c>
      <c r="E15" s="1958"/>
    </row>
    <row r="16" spans="1:5" ht="15">
      <c r="A16" s="1958"/>
      <c r="B16" s="2994" t="str">
        <f>结果表!E109</f>
        <v>——</v>
      </c>
      <c r="C16" s="1966" t="s">
        <v>1631</v>
      </c>
      <c r="D16" s="1967" t="str">
        <f>结果表!H109</f>
        <v>——</v>
      </c>
      <c r="E16" s="1958"/>
    </row>
    <row r="17" spans="1:5" ht="15.75">
      <c r="A17" s="1958"/>
      <c r="B17" s="2995"/>
      <c r="C17" s="1961" t="s">
        <v>1632</v>
      </c>
      <c r="D17" s="1039" t="e">
        <f>NUMBERSTRING(INT(D16*10000),2)&amp;"元整"</f>
        <v>#VALUE!</v>
      </c>
      <c r="E17" s="1958"/>
    </row>
    <row r="18" spans="1:5" ht="15">
      <c r="A18" s="1958"/>
      <c r="B18" s="2996"/>
      <c r="C18" s="1962" t="s">
        <v>1621</v>
      </c>
      <c r="D18" s="1051" t="str">
        <f>结果表!H110</f>
        <v>——</v>
      </c>
      <c r="E18" s="1958"/>
    </row>
    <row r="19" spans="1:5" ht="15.75">
      <c r="A19" s="1958"/>
      <c r="B19" s="2987" t="str">
        <f>结果表!E111</f>
        <v>——</v>
      </c>
      <c r="C19" s="1966" t="s">
        <v>1619</v>
      </c>
      <c r="D19" s="1040" t="str">
        <f>结果表!H111</f>
        <v>——</v>
      </c>
      <c r="E19" s="1958"/>
    </row>
    <row r="20" spans="1:5" ht="15.75">
      <c r="A20" s="1958"/>
      <c r="B20" s="2988"/>
      <c r="C20" s="1961" t="s">
        <v>1632</v>
      </c>
      <c r="D20" s="1039" t="e">
        <f>NUMBERSTRING(INT(D19*10000),2)&amp;"元整"</f>
        <v>#VALUE!</v>
      </c>
      <c r="E20" s="1958"/>
    </row>
    <row r="21" spans="1:5" ht="15.75" thickBot="1">
      <c r="A21" s="1958"/>
      <c r="B21" s="2989"/>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5" t="s">
        <v>614</v>
      </c>
      <c r="C61" s="817" t="s">
        <v>615</v>
      </c>
      <c r="D61" s="817" t="s">
        <v>616</v>
      </c>
      <c r="E61" s="894">
        <v>0.5</v>
      </c>
      <c r="F61" s="881">
        <v>80</v>
      </c>
    </row>
    <row r="62" spans="1:8" s="877" customFormat="1" ht="24">
      <c r="A62" s="881">
        <v>2</v>
      </c>
      <c r="B62" s="3295"/>
      <c r="C62" s="817" t="s">
        <v>617</v>
      </c>
      <c r="D62" s="817" t="s">
        <v>618</v>
      </c>
      <c r="E62" s="894">
        <v>0.5</v>
      </c>
      <c r="F62" s="881">
        <v>80</v>
      </c>
    </row>
    <row r="63" spans="1:8" s="877" customFormat="1" ht="36">
      <c r="A63" s="881">
        <v>3</v>
      </c>
      <c r="B63" s="3295"/>
      <c r="C63" s="817" t="s">
        <v>619</v>
      </c>
      <c r="D63" s="817" t="s">
        <v>620</v>
      </c>
      <c r="E63" s="894">
        <v>0.5</v>
      </c>
      <c r="F63" s="881">
        <v>80</v>
      </c>
    </row>
    <row r="64" spans="1:8" s="877" customFormat="1" ht="36">
      <c r="A64" s="881">
        <v>4</v>
      </c>
      <c r="B64" s="3295"/>
      <c r="C64" s="817" t="s">
        <v>621</v>
      </c>
      <c r="D64" s="817" t="s">
        <v>622</v>
      </c>
      <c r="E64" s="894">
        <v>0.4</v>
      </c>
      <c r="F64" s="881">
        <v>60</v>
      </c>
    </row>
    <row r="65" spans="1:6" s="877" customFormat="1" ht="36">
      <c r="A65" s="881">
        <v>5</v>
      </c>
      <c r="B65" s="3295"/>
      <c r="C65" s="817" t="s">
        <v>623</v>
      </c>
      <c r="D65" s="817" t="s">
        <v>624</v>
      </c>
      <c r="E65" s="894">
        <v>0.2</v>
      </c>
      <c r="F65" s="881">
        <v>30</v>
      </c>
    </row>
    <row r="66" spans="1:6" s="877" customFormat="1" ht="36">
      <c r="A66" s="881">
        <v>6</v>
      </c>
      <c r="B66" s="3295"/>
      <c r="C66" s="817" t="s">
        <v>625</v>
      </c>
      <c r="D66" s="817" t="s">
        <v>626</v>
      </c>
      <c r="E66" s="894">
        <v>0.3</v>
      </c>
      <c r="F66" s="881">
        <v>50</v>
      </c>
    </row>
    <row r="67" spans="1:6" s="877" customFormat="1" ht="36">
      <c r="A67" s="881">
        <v>7</v>
      </c>
      <c r="B67" s="3295"/>
      <c r="C67" s="817" t="s">
        <v>627</v>
      </c>
      <c r="D67" s="817" t="s">
        <v>628</v>
      </c>
      <c r="E67" s="894">
        <v>0.2</v>
      </c>
      <c r="F67" s="881">
        <v>30</v>
      </c>
    </row>
    <row r="68" spans="1:6" s="877" customFormat="1" ht="36">
      <c r="A68" s="881">
        <v>8</v>
      </c>
      <c r="B68" s="3295"/>
      <c r="C68" s="817" t="s">
        <v>629</v>
      </c>
      <c r="D68" s="817" t="s">
        <v>630</v>
      </c>
      <c r="E68" s="894">
        <v>0.2</v>
      </c>
      <c r="F68" s="881">
        <v>30</v>
      </c>
    </row>
    <row r="69" spans="1:6" s="877" customFormat="1" ht="36">
      <c r="A69" s="881">
        <v>9</v>
      </c>
      <c r="B69" s="3295"/>
      <c r="C69" s="817" t="s">
        <v>631</v>
      </c>
      <c r="D69" s="817" t="s">
        <v>632</v>
      </c>
      <c r="E69" s="894">
        <v>0.2</v>
      </c>
      <c r="F69" s="881">
        <v>30</v>
      </c>
    </row>
    <row r="70" spans="1:6" s="877" customFormat="1" ht="48">
      <c r="A70" s="881">
        <v>10</v>
      </c>
      <c r="B70" s="3295"/>
      <c r="C70" s="817" t="s">
        <v>633</v>
      </c>
      <c r="D70" s="817" t="s">
        <v>634</v>
      </c>
      <c r="E70" s="894">
        <v>0.2</v>
      </c>
      <c r="F70" s="881">
        <v>30</v>
      </c>
    </row>
    <row r="71" spans="1:6" s="877" customFormat="1" ht="48">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24">
      <c r="A73" s="881">
        <v>13</v>
      </c>
      <c r="B73" s="3295"/>
      <c r="C73" s="817" t="s">
        <v>639</v>
      </c>
      <c r="D73" s="817" t="s">
        <v>640</v>
      </c>
      <c r="E73" s="894">
        <v>0.4</v>
      </c>
      <c r="F73" s="881">
        <v>60</v>
      </c>
    </row>
    <row r="74" spans="1:6" s="877" customFormat="1" ht="24">
      <c r="A74" s="881">
        <v>14</v>
      </c>
      <c r="B74" s="3295"/>
      <c r="C74" s="817" t="s">
        <v>641</v>
      </c>
      <c r="D74" s="817" t="s">
        <v>642</v>
      </c>
      <c r="E74" s="894">
        <v>0.2</v>
      </c>
      <c r="F74" s="881">
        <v>30</v>
      </c>
    </row>
    <row r="75" spans="1:6" s="877" customFormat="1" ht="24">
      <c r="A75" s="881">
        <v>15</v>
      </c>
      <c r="B75" s="3295"/>
      <c r="C75" s="817" t="s">
        <v>643</v>
      </c>
      <c r="D75" s="817" t="s">
        <v>644</v>
      </c>
      <c r="E75" s="894">
        <v>0.2</v>
      </c>
      <c r="F75" s="881">
        <v>30</v>
      </c>
    </row>
    <row r="76" spans="1:6" s="877" customFormat="1" ht="24">
      <c r="A76" s="881">
        <v>16</v>
      </c>
      <c r="B76" s="3295" t="s">
        <v>645</v>
      </c>
      <c r="C76" s="817" t="s">
        <v>646</v>
      </c>
      <c r="D76" s="817" t="s">
        <v>647</v>
      </c>
      <c r="E76" s="894">
        <v>0.5</v>
      </c>
      <c r="F76" s="881">
        <v>80</v>
      </c>
    </row>
    <row r="77" spans="1:6" s="877" customFormat="1" ht="24">
      <c r="A77" s="881">
        <v>17</v>
      </c>
      <c r="B77" s="3295"/>
      <c r="C77" s="817" t="s">
        <v>648</v>
      </c>
      <c r="D77" s="817" t="s">
        <v>649</v>
      </c>
      <c r="E77" s="894">
        <v>0.5</v>
      </c>
      <c r="F77" s="881">
        <v>80</v>
      </c>
    </row>
    <row r="78" spans="1:6" s="877" customFormat="1" ht="24">
      <c r="A78" s="881">
        <v>18</v>
      </c>
      <c r="B78" s="3295"/>
      <c r="C78" s="817" t="s">
        <v>650</v>
      </c>
      <c r="D78" s="817" t="s">
        <v>651</v>
      </c>
      <c r="E78" s="894">
        <v>0.2</v>
      </c>
      <c r="F78" s="881">
        <v>30</v>
      </c>
    </row>
    <row r="79" spans="1:6" s="877" customFormat="1" ht="24">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48">
      <c r="A82" s="881">
        <v>22</v>
      </c>
      <c r="B82" s="3295"/>
      <c r="C82" s="817" t="s">
        <v>658</v>
      </c>
      <c r="D82" s="817" t="s">
        <v>659</v>
      </c>
      <c r="E82" s="894">
        <v>0.2</v>
      </c>
      <c r="F82" s="881">
        <v>30</v>
      </c>
    </row>
    <row r="83" spans="1:6" s="877" customFormat="1" ht="48">
      <c r="A83" s="881">
        <v>23</v>
      </c>
      <c r="B83" s="3295"/>
      <c r="C83" s="817" t="s">
        <v>660</v>
      </c>
      <c r="D83" s="817" t="s">
        <v>661</v>
      </c>
      <c r="E83" s="894">
        <v>0.2</v>
      </c>
      <c r="F83" s="881">
        <v>30</v>
      </c>
    </row>
    <row r="84" spans="1:6" s="877" customFormat="1" ht="36">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24">
      <c r="A89" s="881">
        <v>29</v>
      </c>
      <c r="B89" s="3295"/>
      <c r="C89" s="817" t="s">
        <v>672</v>
      </c>
      <c r="D89" s="817" t="s">
        <v>673</v>
      </c>
      <c r="E89" s="894">
        <v>0.2</v>
      </c>
      <c r="F89" s="881">
        <v>30</v>
      </c>
    </row>
    <row r="90" spans="1:6" s="877" customFormat="1" ht="24">
      <c r="A90" s="881">
        <v>30</v>
      </c>
      <c r="B90" s="3295"/>
      <c r="C90" s="817" t="s">
        <v>674</v>
      </c>
      <c r="D90" s="817" t="s">
        <v>675</v>
      </c>
      <c r="E90" s="894">
        <v>0.2</v>
      </c>
      <c r="F90" s="881">
        <v>30</v>
      </c>
    </row>
    <row r="91" spans="1:6" s="877" customFormat="1" ht="36">
      <c r="A91" s="881">
        <v>31</v>
      </c>
      <c r="B91" s="3295"/>
      <c r="C91" s="817" t="s">
        <v>676</v>
      </c>
      <c r="D91" s="817" t="s">
        <v>677</v>
      </c>
      <c r="E91" s="894">
        <v>0.2</v>
      </c>
      <c r="F91" s="881">
        <v>30</v>
      </c>
    </row>
    <row r="92" spans="1:6" s="877" customFormat="1" ht="24">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48">
      <c r="A94" s="881">
        <v>34</v>
      </c>
      <c r="B94" s="3295"/>
      <c r="C94" s="881" t="s">
        <v>683</v>
      </c>
      <c r="D94" s="817" t="s">
        <v>684</v>
      </c>
      <c r="E94" s="894">
        <v>0.2</v>
      </c>
      <c r="F94" s="881">
        <v>30</v>
      </c>
    </row>
    <row r="95" spans="1:6" s="877" customFormat="1" ht="36">
      <c r="A95" s="881">
        <v>35</v>
      </c>
      <c r="B95" s="3295"/>
      <c r="C95" s="881" t="s">
        <v>685</v>
      </c>
      <c r="D95" s="817" t="s">
        <v>686</v>
      </c>
      <c r="E95" s="894">
        <v>0.2</v>
      </c>
      <c r="F95" s="881">
        <v>30</v>
      </c>
    </row>
    <row r="96" spans="1:6" s="877" customFormat="1" ht="48">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24">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5" t="s">
        <v>708</v>
      </c>
      <c r="C105" s="881" t="s">
        <v>709</v>
      </c>
      <c r="D105" s="817" t="s">
        <v>710</v>
      </c>
      <c r="E105" s="894">
        <v>0.2</v>
      </c>
      <c r="F105" s="881">
        <v>30</v>
      </c>
    </row>
    <row r="106" spans="1:6" s="877" customFormat="1" ht="36">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36">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5" t="s">
        <v>724</v>
      </c>
      <c r="C111" s="881" t="s">
        <v>725</v>
      </c>
      <c r="D111" s="817" t="s">
        <v>726</v>
      </c>
      <c r="E111" s="894">
        <v>0.2</v>
      </c>
      <c r="F111" s="881">
        <v>30</v>
      </c>
    </row>
    <row r="112" spans="1:6" s="877" customFormat="1" ht="24">
      <c r="A112" s="881">
        <v>52</v>
      </c>
      <c r="B112" s="3295"/>
      <c r="C112" s="881" t="s">
        <v>727</v>
      </c>
      <c r="D112" s="817" t="s">
        <v>728</v>
      </c>
      <c r="E112" s="894">
        <v>0.2</v>
      </c>
      <c r="F112" s="881">
        <v>30</v>
      </c>
    </row>
    <row r="113" spans="1:6" s="877" customFormat="1" ht="24">
      <c r="A113" s="881">
        <v>53</v>
      </c>
      <c r="B113" s="32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0.87180000000000002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3001</v>
      </c>
    </row>
    <row r="2" spans="1:5" ht="15.75">
      <c r="A2" s="2904" t="s">
        <v>2993</v>
      </c>
      <c r="B2" s="2905">
        <f ca="1">SUMIF(B6:B13,"&lt;&gt;#ref!",B6:B13)</f>
        <v>139711</v>
      </c>
      <c r="C2" s="2904" t="s">
        <v>2994</v>
      </c>
      <c r="D2" s="2904" t="s">
        <v>2995</v>
      </c>
      <c r="E2" s="2905">
        <f ca="1">SUMIF(E6:E13,"&lt;&gt;#ref!",E6:E13)</f>
        <v>123883.8</v>
      </c>
    </row>
    <row r="3" spans="1:5" ht="15.75">
      <c r="A3" s="2904" t="s">
        <v>2996</v>
      </c>
      <c r="B3" s="2905">
        <f ca="1">ROUND(B2*10000/E2,0)</f>
        <v>11278</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139711</v>
      </c>
      <c r="C6" s="2904" t="s">
        <v>2994</v>
      </c>
      <c r="D6" s="2906"/>
      <c r="E6" s="2577">
        <f ca="1">SUMIF(INDIRECT("'"&amp;A6&amp;"'"&amp;"!C:C"),"建筑面积",INDIRECT("'"&amp;A6&amp;"'"&amp;"!D:D"))</f>
        <v>123883.8</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1" t="s">
        <v>1146</v>
      </c>
      <c r="C1" s="3301"/>
      <c r="D1" s="3301"/>
      <c r="E1" s="3301"/>
      <c r="F1" s="3301"/>
      <c r="G1" s="3300" t="s">
        <v>1147</v>
      </c>
      <c r="H1" s="3300"/>
      <c r="I1" s="3300"/>
      <c r="J1" s="3300"/>
      <c r="K1" s="3300"/>
      <c r="L1" s="3300"/>
      <c r="N1" s="3300" t="s">
        <v>1148</v>
      </c>
      <c r="O1" s="3300"/>
      <c r="P1" s="3300"/>
      <c r="Q1" s="3300"/>
      <c r="R1" s="1445"/>
      <c r="S1" s="3300" t="s">
        <v>1149</v>
      </c>
      <c r="T1" s="3300"/>
      <c r="U1" s="3300"/>
      <c r="V1" s="3300"/>
      <c r="X1" s="3299" t="s">
        <v>1150</v>
      </c>
      <c r="Y1" s="3300"/>
      <c r="Z1" s="3300"/>
      <c r="AA1" s="3300"/>
      <c r="AB1" s="3300"/>
      <c r="AD1" s="3299" t="s">
        <v>1151</v>
      </c>
      <c r="AE1" s="3300"/>
      <c r="AF1" s="3300"/>
      <c r="AG1" s="3300"/>
      <c r="AH1" s="3300"/>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7">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7"/>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7"/>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0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7"/>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7"/>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7"/>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7"/>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8"/>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6">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7"/>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7"/>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8"/>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6">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7"/>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7"/>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8"/>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6">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7"/>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7"/>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8"/>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6">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7">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7">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8">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6">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7">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7">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8">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6">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7">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7">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8">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6">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7">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7">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8">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6">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7">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7">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8">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6">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7">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7">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8">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6">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7">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7">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8">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6">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7">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7">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8">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6">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7">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7">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8">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6">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7">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7">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8">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3003</v>
      </c>
      <c r="C1" s="3308" t="s">
        <v>3004</v>
      </c>
      <c r="D1" s="3309"/>
      <c r="E1" s="3309"/>
      <c r="F1" s="3309"/>
      <c r="G1" s="3309"/>
      <c r="H1" s="3309"/>
      <c r="I1" s="3309"/>
      <c r="J1" s="3309"/>
      <c r="K1" s="3309"/>
      <c r="L1" s="3309"/>
      <c r="M1" s="3309"/>
      <c r="N1" s="3309"/>
      <c r="O1" s="3309"/>
      <c r="P1" s="3309"/>
      <c r="Q1" s="3309"/>
      <c r="R1" s="3309"/>
      <c r="S1" s="3310"/>
      <c r="T1" s="1203" t="s">
        <v>3005</v>
      </c>
    </row>
    <row r="2" spans="1:45" s="707" customFormat="1">
      <c r="A2" s="1204"/>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3007</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3008</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3009</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3013</v>
      </c>
      <c r="B17" s="2911"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3015</v>
      </c>
      <c r="E19" s="1791"/>
      <c r="F19" s="1791"/>
      <c r="G19" s="1791"/>
      <c r="H19" s="1279"/>
      <c r="I19" s="168"/>
      <c r="J19" s="168"/>
      <c r="K19" s="168"/>
      <c r="L19" s="168"/>
      <c r="M19" s="168"/>
      <c r="N19" s="168"/>
      <c r="O19" s="168"/>
      <c r="P19" s="168"/>
      <c r="Q19" s="168"/>
      <c r="R19" s="788"/>
      <c r="S19" s="138"/>
    </row>
    <row r="20" spans="1:45" ht="16.5" thickBot="1">
      <c r="A20" s="715" t="s">
        <v>3016</v>
      </c>
      <c r="B20" s="338" t="e">
        <f ca="1">IF(D20="——",S22,S22-F20)</f>
        <v>#REF!</v>
      </c>
      <c r="C20" s="168"/>
      <c r="D20" s="2913" t="s">
        <v>3017</v>
      </c>
      <c r="E20" s="1792"/>
      <c r="F20" s="1203" t="e">
        <f ca="1">SUMIF(INDIRECT("'"&amp;H20&amp;"'"&amp;"!A:A"),"承租人权益价值",INDIRECT("'"&amp;H20&amp;"'"&amp;"!c:c"))</f>
        <v>#REF!</v>
      </c>
      <c r="G20" s="1203" t="s">
        <v>3018</v>
      </c>
      <c r="H20" s="2914"/>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7" t="s">
        <v>33</v>
      </c>
      <c r="D22" s="3168"/>
      <c r="E22" s="3168"/>
      <c r="F22" s="3168"/>
      <c r="G22" s="3168"/>
      <c r="H22" s="3168"/>
      <c r="I22" s="3168"/>
      <c r="J22" s="3168"/>
      <c r="K22" s="3168"/>
      <c r="L22" s="3168"/>
      <c r="M22" s="3168"/>
      <c r="N22" s="3168"/>
      <c r="O22" s="3168"/>
      <c r="P22" s="3168"/>
      <c r="Q22" s="330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47680</v>
      </c>
      <c r="C2" s="2" t="s">
        <v>133</v>
      </c>
      <c r="D2" s="243"/>
      <c r="E2" s="243"/>
      <c r="F2" s="243"/>
      <c r="G2" s="243"/>
    </row>
    <row r="3" spans="1:7" s="244" customFormat="1" ht="18" customHeight="1" thickBot="1">
      <c r="A3" s="247" t="s">
        <v>85</v>
      </c>
      <c r="B3" s="248">
        <f ca="1">ROUND(B2*10000/'数据-汇总表'!E3,0)</f>
        <v>3383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2819</v>
      </c>
      <c r="D10" s="1031">
        <f>'数据-汇总表'!E6</f>
        <v>140932.81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1409</v>
      </c>
      <c r="D19" s="1035">
        <f>'数据-汇总表'!E3</f>
        <v>140932.81</v>
      </c>
      <c r="E19" s="255">
        <f>'数据-取费表'!B31</f>
        <v>100</v>
      </c>
      <c r="F19" s="275"/>
      <c r="G19" s="1" t="s">
        <v>1071</v>
      </c>
    </row>
    <row r="20" spans="1:7" s="258" customFormat="1" ht="13.5" customHeight="1">
      <c r="A20" s="947" t="s">
        <v>1054</v>
      </c>
      <c r="B20" s="254" t="s">
        <v>104</v>
      </c>
      <c r="C20" s="276">
        <f>ROUND((C5+C19)*F20,0)</f>
        <v>440</v>
      </c>
      <c r="D20" s="276"/>
      <c r="E20" s="276"/>
      <c r="F20" s="277">
        <f>'数据-取费表'!B37</f>
        <v>0.02</v>
      </c>
      <c r="G20" s="1288" t="s">
        <v>1065</v>
      </c>
    </row>
    <row r="21" spans="1:7" s="258" customFormat="1" ht="13.5" customHeight="1">
      <c r="A21" s="947" t="s">
        <v>1056</v>
      </c>
      <c r="B21" s="254" t="s">
        <v>105</v>
      </c>
      <c r="C21" s="279">
        <f>F21</f>
        <v>1.4999999999999999E-2</v>
      </c>
      <c r="D21" s="280" t="s">
        <v>126</v>
      </c>
      <c r="E21" s="276"/>
      <c r="F21" s="277">
        <f>'数据-取费表'!B38</f>
        <v>1.4999999999999999E-2</v>
      </c>
      <c r="G21" s="278" t="s">
        <v>106</v>
      </c>
    </row>
    <row r="22" spans="1:7" s="258" customFormat="1" ht="13.5" customHeight="1">
      <c r="A22" s="947" t="s">
        <v>786</v>
      </c>
      <c r="B22" s="254" t="s">
        <v>107</v>
      </c>
      <c r="C22" s="1353">
        <f ca="1">ROUND(SUM(C23:C25),0)</f>
        <v>628</v>
      </c>
      <c r="D22" s="279">
        <f ca="1">C26</f>
        <v>2.0000000000000001E-4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582</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40</v>
      </c>
      <c r="D24" s="282"/>
      <c r="E24" s="282"/>
      <c r="F24" s="283"/>
      <c r="G24" s="284" t="s">
        <v>109</v>
      </c>
    </row>
    <row r="25" spans="1:7" s="258" customFormat="1" ht="24">
      <c r="A25" s="950" t="s">
        <v>793</v>
      </c>
      <c r="B25" s="259" t="s">
        <v>1055</v>
      </c>
      <c r="C25" s="1354">
        <f ca="1">ROUND(IF('数据-取费表'!B22&lt;=1,C20*F22*'数据-取费表'!B23/2,C20*(POWER((1+F22),'数据-取费表'!B23/2)-1)),0)</f>
        <v>6</v>
      </c>
      <c r="D25" s="282"/>
      <c r="E25" s="285"/>
      <c r="F25" s="283"/>
      <c r="G25" s="286" t="s">
        <v>110</v>
      </c>
    </row>
    <row r="26" spans="1:7" s="258" customFormat="1">
      <c r="A26" s="950" t="s">
        <v>795</v>
      </c>
      <c r="B26" s="259" t="s">
        <v>1057</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916</v>
      </c>
      <c r="D27" s="279">
        <f>C29</f>
        <v>5.9999999999999995E-4</v>
      </c>
      <c r="E27" s="280" t="s">
        <v>126</v>
      </c>
      <c r="F27" s="290">
        <f>'数据-取费表'!Q16</f>
        <v>0.17</v>
      </c>
      <c r="G27" s="291" t="s">
        <v>1066</v>
      </c>
    </row>
    <row r="28" spans="1:7" s="258" customFormat="1" ht="13.5" customHeight="1">
      <c r="A28" s="950" t="s">
        <v>794</v>
      </c>
      <c r="B28" s="292" t="s">
        <v>1059</v>
      </c>
      <c r="C28" s="293">
        <f>ROUND((C5+C19+C20)*F27*'数据-取费表'!B21/'数据-取费表'!B20,0)</f>
        <v>916</v>
      </c>
      <c r="D28" s="279"/>
      <c r="E28" s="280"/>
      <c r="F28" s="290"/>
      <c r="G28" s="291"/>
    </row>
    <row r="29" spans="1:7" s="258" customFormat="1" ht="13.5" customHeight="1">
      <c r="A29" s="950" t="s">
        <v>792</v>
      </c>
      <c r="B29" s="292" t="s">
        <v>1060</v>
      </c>
      <c r="C29" s="282">
        <f>ROUND(C21*F27*'数据-取费表'!B21/'数据-取费表'!B20,4)</f>
        <v>5.9999999999999995E-4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16839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15304</v>
      </c>
      <c r="D34" s="261"/>
      <c r="E34" s="264"/>
      <c r="F34" s="301">
        <f>IF('数据-取费表'!B24=0,1,'数据-取费表'!N16)</f>
        <v>0.3</v>
      </c>
      <c r="G34" s="263" t="s">
        <v>116</v>
      </c>
    </row>
    <row r="35" spans="1:7" ht="13.5" customHeight="1">
      <c r="A35" s="950" t="s">
        <v>796</v>
      </c>
      <c r="B35" s="259" t="s">
        <v>60</v>
      </c>
      <c r="C35" s="264">
        <f>ROUND(C34*F35,0)</f>
        <v>459</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846</v>
      </c>
      <c r="D37" s="261">
        <f>'数据-汇总表'!E3</f>
        <v>140932.81</v>
      </c>
      <c r="E37" s="293">
        <f>'数据-取费表'!B35</f>
        <v>200</v>
      </c>
      <c r="F37" s="303"/>
      <c r="G37" s="305" t="s">
        <v>119</v>
      </c>
    </row>
    <row r="38" spans="1:7" ht="13.5" customHeight="1">
      <c r="A38" s="950" t="s">
        <v>799</v>
      </c>
      <c r="B38" s="259" t="s">
        <v>63</v>
      </c>
      <c r="C38" s="264">
        <f>ROUND(C34*F38,0)</f>
        <v>230</v>
      </c>
      <c r="D38" s="264"/>
      <c r="E38" s="264"/>
      <c r="F38" s="303">
        <f>'数据-取费表'!B36</f>
        <v>1.4999999999999999E-2</v>
      </c>
      <c r="G38" s="263" t="s">
        <v>117</v>
      </c>
    </row>
    <row r="39" spans="1:7" s="258" customFormat="1" ht="13.5" customHeight="1">
      <c r="A39" s="947" t="s">
        <v>783</v>
      </c>
      <c r="B39" s="254" t="s">
        <v>104</v>
      </c>
      <c r="C39" s="276">
        <f>ROUND(C33*F20,0)</f>
        <v>337</v>
      </c>
      <c r="D39" s="276"/>
      <c r="E39" s="276"/>
      <c r="F39" s="277"/>
      <c r="G39" s="1288" t="s">
        <v>1068</v>
      </c>
    </row>
    <row r="40" spans="1:7" s="258" customFormat="1" ht="13.5" customHeight="1">
      <c r="A40" s="947" t="s">
        <v>784</v>
      </c>
      <c r="B40" s="254" t="s">
        <v>105</v>
      </c>
      <c r="C40" s="306">
        <f>F21</f>
        <v>1.4999999999999999E-2</v>
      </c>
      <c r="D40" s="280" t="s">
        <v>129</v>
      </c>
      <c r="E40" s="276"/>
      <c r="F40" s="277"/>
      <c r="G40" s="278" t="s">
        <v>120</v>
      </c>
    </row>
    <row r="41" spans="1:7" s="258" customFormat="1" ht="13.5" customHeight="1">
      <c r="A41" s="947" t="s">
        <v>785</v>
      </c>
      <c r="B41" s="254" t="s">
        <v>107</v>
      </c>
      <c r="C41" s="276">
        <f ca="1">ROUND(SUM(C42:C43),0)</f>
        <v>241</v>
      </c>
      <c r="D41" s="279">
        <f ca="1">C44</f>
        <v>2.0000000000000001E-4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236</v>
      </c>
      <c r="D42" s="282"/>
      <c r="E42" s="282"/>
      <c r="F42" s="283"/>
      <c r="G42" s="3172" t="s">
        <v>121</v>
      </c>
    </row>
    <row r="43" spans="1:7" ht="13.5" customHeight="1">
      <c r="A43" s="950" t="s">
        <v>792</v>
      </c>
      <c r="B43" s="259" t="s">
        <v>1061</v>
      </c>
      <c r="C43" s="282">
        <f ca="1">ROUND(IF('数据-取费表'!B22&lt;=1,C39*F22*'数据-取费表'!B21/2,C39*(POWER((1+F22),'数据-取费表'!B21/2)-1)),0)</f>
        <v>5</v>
      </c>
      <c r="D43" s="282"/>
      <c r="E43" s="282"/>
      <c r="F43" s="283"/>
      <c r="G43" s="3173"/>
    </row>
    <row r="44" spans="1:7" ht="13.5" customHeight="1">
      <c r="A44" s="950" t="s">
        <v>793</v>
      </c>
      <c r="B44" s="259" t="s">
        <v>1063</v>
      </c>
      <c r="C44" s="282">
        <f ca="1">ROUND(IF('数据-取费表'!B22&lt;=1,C40*F22*'数据-取费表'!B21/2,C40*(POWER((1+F22),'数据-取费表'!B21/2)-1)),4)</f>
        <v>2.0000000000000001E-4</v>
      </c>
      <c r="D44" s="282"/>
      <c r="E44" s="282"/>
      <c r="F44" s="283"/>
      <c r="G44" s="3174"/>
    </row>
    <row r="45" spans="1:7" s="258" customFormat="1" ht="13.5" customHeight="1">
      <c r="A45" s="947" t="s">
        <v>786</v>
      </c>
      <c r="B45" s="288" t="s">
        <v>112</v>
      </c>
      <c r="C45" s="289">
        <f>C46</f>
        <v>2920</v>
      </c>
      <c r="D45" s="279">
        <f>C47</f>
        <v>2.5999999999999999E-3</v>
      </c>
      <c r="E45" s="280" t="s">
        <v>129</v>
      </c>
      <c r="F45" s="290"/>
      <c r="G45" s="291" t="s">
        <v>1069</v>
      </c>
    </row>
    <row r="46" spans="1:7" s="258" customFormat="1" ht="13.5" customHeight="1">
      <c r="A46" s="950" t="s">
        <v>794</v>
      </c>
      <c r="B46" s="292" t="s">
        <v>1062</v>
      </c>
      <c r="C46" s="293">
        <f>ROUND((C33+C39)*F27,0)</f>
        <v>2920</v>
      </c>
      <c r="D46" s="307"/>
      <c r="E46" s="280"/>
      <c r="F46" s="290"/>
      <c r="G46" s="291"/>
    </row>
    <row r="47" spans="1:7" s="258" customFormat="1" ht="13.5" customHeight="1">
      <c r="A47" s="950" t="s">
        <v>792</v>
      </c>
      <c r="B47" s="292" t="s">
        <v>1064</v>
      </c>
      <c r="C47" s="282">
        <f>ROUND(C40*F27,4)</f>
        <v>2.5999999999999999E-3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21894</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21894</v>
      </c>
      <c r="D51" s="276"/>
      <c r="E51" s="276"/>
      <c r="F51" s="308"/>
      <c r="G51" s="278" t="s">
        <v>64</v>
      </c>
    </row>
    <row r="52" spans="1:7" s="252" customFormat="1" ht="16.5" thickBot="1">
      <c r="A52" s="309" t="s">
        <v>65</v>
      </c>
      <c r="B52" s="310"/>
      <c r="C52" s="311">
        <f ca="1">C31+C51</f>
        <v>47680</v>
      </c>
      <c r="D52" s="310"/>
      <c r="E52" s="310"/>
      <c r="F52" s="310"/>
      <c r="G52" s="312"/>
    </row>
    <row r="55" spans="1:7" ht="15">
      <c r="B55" s="314" t="s">
        <v>66</v>
      </c>
      <c r="C55" s="315"/>
    </row>
    <row r="56" spans="1:7">
      <c r="B56" s="317" t="s">
        <v>67</v>
      </c>
      <c r="C56" s="318">
        <f ca="1">ROUND(C51/C52,3)</f>
        <v>0.45900000000000002</v>
      </c>
    </row>
    <row r="57" spans="1:7">
      <c r="B57" s="317" t="s">
        <v>68</v>
      </c>
      <c r="C57" s="319">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1" t="s">
        <v>868</v>
      </c>
      <c r="B1" s="331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43633</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3" t="s">
        <v>1634</v>
      </c>
      <c r="E3" s="1043" t="s">
        <v>1640</v>
      </c>
      <c r="F3" s="1043" t="s">
        <v>1634</v>
      </c>
      <c r="G3" s="1043" t="s">
        <v>1635</v>
      </c>
      <c r="H3" s="1043" t="s">
        <v>1634</v>
      </c>
      <c r="I3" s="1043" t="s">
        <v>1635</v>
      </c>
    </row>
    <row r="4" spans="1:9" ht="30">
      <c r="A4" s="1972" t="str">
        <f>项目基本情况!S2</f>
        <v>北京市出让国有建设用地使用权及在建建筑物房地产</v>
      </c>
      <c r="B4" s="1043">
        <f>项目基本情况!C17</f>
        <v>140932.81</v>
      </c>
      <c r="C4" s="1043">
        <f>项目基本情况!C18</f>
        <v>22165.75</v>
      </c>
      <c r="D4" s="1043" t="e">
        <f ca="1">结果表!D118</f>
        <v>#REF!</v>
      </c>
      <c r="E4" s="1043" t="e">
        <f ca="1">结果表!E118</f>
        <v>#REF!</v>
      </c>
      <c r="F4" s="1043" t="e">
        <f ca="1">结果表!F118</f>
        <v>#REF!</v>
      </c>
      <c r="G4" s="1043" t="e">
        <f ca="1">结果表!G118</f>
        <v>#REF!</v>
      </c>
      <c r="H4" s="1043">
        <f ca="1">结果表!H118</f>
        <v>175915</v>
      </c>
      <c r="I4" s="1043">
        <f ca="1">结果表!I118</f>
        <v>12482</v>
      </c>
    </row>
    <row r="5" spans="1:9" ht="30" customHeight="1">
      <c r="A5" s="3001" t="s">
        <v>1636</v>
      </c>
      <c r="B5" s="3001"/>
      <c r="C5" s="3001"/>
      <c r="D5" s="3002" t="e">
        <f ca="1">结果表!D119</f>
        <v>#REF!</v>
      </c>
      <c r="E5" s="3002"/>
      <c r="F5" s="3002" t="e">
        <f ca="1">结果表!F119</f>
        <v>#REF!</v>
      </c>
      <c r="G5" s="3002"/>
      <c r="H5" s="3002" t="str">
        <f ca="1">结果表!H119</f>
        <v>壹拾柒亿伍仟玖佰壹拾伍万元整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1636</v>
      </c>
      <c r="B7" s="3001"/>
      <c r="C7" s="3001"/>
      <c r="D7" s="3003" t="str">
        <f>结果表!D121</f>
        <v>零元整</v>
      </c>
      <c r="E7" s="3004"/>
      <c r="F7" s="3004"/>
      <c r="G7" s="3004"/>
      <c r="H7" s="3004"/>
      <c r="I7" s="3005"/>
    </row>
    <row r="8" spans="1:9" ht="15.75">
      <c r="A8" s="3000" t="str">
        <f>结果表!A122</f>
        <v>房地产抵押价值</v>
      </c>
      <c r="B8" s="3000"/>
      <c r="C8" s="3000"/>
      <c r="D8" s="3000">
        <f ca="1">结果表!D122</f>
        <v>175915</v>
      </c>
      <c r="E8" s="3000"/>
      <c r="F8" s="3000"/>
      <c r="G8" s="3000"/>
      <c r="H8" s="3000"/>
      <c r="I8" s="3000"/>
    </row>
    <row r="9" spans="1:9" ht="15">
      <c r="A9" s="3001" t="s">
        <v>1636</v>
      </c>
      <c r="B9" s="3001"/>
      <c r="C9" s="3001"/>
      <c r="D9" s="3002" t="str">
        <f ca="1">结果表!D123</f>
        <v>壹拾柒亿伍仟玖佰壹拾伍万元整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1636</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1636</v>
      </c>
      <c r="B13" s="2997"/>
      <c r="C13" s="2997"/>
      <c r="D13" s="2998" t="e">
        <f>结果表!D127</f>
        <v>#VALUE!</v>
      </c>
      <c r="E13" s="2998"/>
      <c r="F13" s="2998"/>
      <c r="G13" s="2998"/>
      <c r="H13" s="2998"/>
      <c r="I13" s="2998"/>
    </row>
    <row r="14" spans="1:9" ht="15" thickTop="1">
      <c r="A14" s="2999" t="s">
        <v>1641</v>
      </c>
      <c r="B14" s="2999"/>
      <c r="C14" s="2999"/>
      <c r="D14" s="2999"/>
      <c r="E14" s="2999"/>
      <c r="F14" s="2999"/>
      <c r="G14" s="2999"/>
      <c r="H14" s="2999"/>
      <c r="I14" s="2999"/>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4" t="s">
        <v>1658</v>
      </c>
      <c r="B1" s="3014"/>
      <c r="C1" s="3014"/>
      <c r="D1" s="3014"/>
    </row>
    <row r="2" spans="1:4" ht="18">
      <c r="A2" s="3015" t="s">
        <v>1642</v>
      </c>
      <c r="B2" s="3015"/>
      <c r="C2" s="3015"/>
      <c r="D2" s="3015"/>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15" t="s">
        <v>1648</v>
      </c>
      <c r="B6" s="3015"/>
      <c r="C6" s="3015"/>
      <c r="D6" s="3015"/>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6" t="s">
        <v>1651</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1654</v>
      </c>
      <c r="B22" s="3012"/>
      <c r="C22" s="3012"/>
      <c r="D22" s="3012"/>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43647</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t="str">
        <f ca="1">IF(C11&lt;B2,"已过期",1120100036)</f>
        <v>已过期</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3044</v>
      </c>
      <c r="B14" s="1021">
        <f ca="1">IF(C14&lt;B2,"已过期",1120040230)</f>
        <v>1120040230</v>
      </c>
      <c r="C14" s="2347">
        <v>43835</v>
      </c>
      <c r="D14" s="2350" t="s">
        <v>3044</v>
      </c>
      <c r="E14" s="1021">
        <f ca="1">IF(F14&lt;B2,"已过期",98030020)</f>
        <v>98030020</v>
      </c>
      <c r="F14" s="1029">
        <v>47118</v>
      </c>
    </row>
    <row r="15" spans="1:6" ht="24" customHeight="1">
      <c r="A15" s="1702" t="s">
        <v>3045</v>
      </c>
      <c r="B15" s="1021">
        <f ca="1">IF(C15&lt;B2,"已过期",1120070085)</f>
        <v>1120070085</v>
      </c>
      <c r="C15" s="2347">
        <v>43814</v>
      </c>
      <c r="D15" s="2351" t="s">
        <v>3045</v>
      </c>
      <c r="E15" s="1021">
        <f ca="1">IF(F15&lt;B2,"已过期",2004110128)</f>
        <v>2004110128</v>
      </c>
      <c r="F15" s="1022">
        <v>47118</v>
      </c>
    </row>
    <row r="16" spans="1:6" ht="24" customHeight="1">
      <c r="A16" s="1701" t="s">
        <v>3046</v>
      </c>
      <c r="B16" s="1021">
        <f ca="1">IF(C16&lt;B2,"已过期",1120140022)</f>
        <v>1120140022</v>
      </c>
      <c r="C16" s="2930">
        <v>44029</v>
      </c>
      <c r="D16" s="2350" t="s">
        <v>3046</v>
      </c>
      <c r="E16" s="1021">
        <f ca="1">IF(F16&lt;B2,"已过期",2008110059)</f>
        <v>2008110059</v>
      </c>
      <c r="F16" s="1029">
        <v>47177</v>
      </c>
    </row>
    <row r="17" spans="1:7" ht="24" customHeight="1">
      <c r="A17" s="1701"/>
      <c r="B17" s="1021"/>
      <c r="C17" s="2347"/>
      <c r="D17" s="2350" t="s">
        <v>3047</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139</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收益法库房</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2019-07-01T03:48:06Z</dcterms:modified>
</cp:coreProperties>
</file>