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24" yWindow="120" windowWidth="11412" windowHeight="9540" tabRatio="899" firstSheet="15"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结果表-地下商业1" sheetId="87" r:id="rId25"/>
    <sheet name="成本法-地下商业1" sheetId="81" r:id="rId26"/>
    <sheet name="收益法-地下商业1" sheetId="84" r:id="rId27"/>
    <sheet name="结果表-地下商业2" sheetId="88" r:id="rId28"/>
    <sheet name="成本法-地下商业2" sheetId="82" r:id="rId29"/>
    <sheet name="收益法-地下商业2" sheetId="85" r:id="rId30"/>
    <sheet name="结果表-地下车库" sheetId="89" r:id="rId31"/>
    <sheet name="成本法-地下车库" sheetId="83" r:id="rId32"/>
    <sheet name="收益法-地下车库" sheetId="86" r:id="rId33"/>
    <sheet name="收益法 (元)" sheetId="67" state="hidden" r:id="rId34"/>
    <sheet name="收益法-酒店模型" sheetId="77" state="hidden" r:id="rId35"/>
    <sheet name="收益法（汇总）" sheetId="70" state="hidden" r:id="rId36"/>
    <sheet name="比较法-住宅" sheetId="21"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典型户型修正" sheetId="31" state="hidden" r:id="rId45"/>
    <sheet name="基准地价（汇总）" sheetId="76" state="hidden" r:id="rId46"/>
    <sheet name="修正" sheetId="45" state="hidden" r:id="rId47"/>
    <sheet name="容积率修正" sheetId="46" state="hidden" r:id="rId48"/>
    <sheet name="成本法（废）" sheetId="11" state="hidden" r:id="rId49"/>
    <sheet name="区片价" sheetId="44" r:id="rId50"/>
    <sheet name="因素修正幅度" sheetId="65" state="hidden" r:id="rId51"/>
    <sheet name="区片价（范围）" sheetId="75" state="hidden" r:id="rId52"/>
    <sheet name="地价-分区" sheetId="79" r:id="rId53"/>
    <sheet name="地价" sheetId="71" state="hidden" r:id="rId54"/>
    <sheet name="存贷款利率" sheetId="73" state="hidden" r:id="rId55"/>
    <sheet name="Sheet2" sheetId="90" r:id="rId56"/>
    <sheet name="Sheet3" sheetId="91" r:id="rId57"/>
  </sheets>
  <externalReferences>
    <externalReference r:id="rId58"/>
    <externalReference r:id="rId59"/>
    <externalReference r:id="rId60"/>
    <externalReference r:id="rId61"/>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31">'成本法-地下车库'!$A$1:$G$57</definedName>
    <definedName name="_xlnm.Print_Area" localSheetId="25">'成本法-地下商业1'!$A$1:$G$57</definedName>
    <definedName name="_xlnm.Print_Area" localSheetId="28">'成本法-地下商业2'!$A$1:$G$57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30">'结果表-地下车库'!$A$1:$I$127</definedName>
    <definedName name="_xlnm.Print_Area" localSheetId="24">'结果表-地下商业1'!$A$1:$I$127</definedName>
    <definedName name="_xlnm.Print_Area" localSheetId="27">'结果表-地下商业2'!$A$1:$I$127</definedName>
    <definedName name="_xlnm.Print_Area" localSheetId="23">收益法!$A$1:$F$43,收益法!$H$3:$M$29,收益法!$A$46:$F$71,收益法!$I$46:$N$65</definedName>
    <definedName name="_xlnm.Print_Area" localSheetId="33">'收益法 (元)'!$A$1:$F$43,'收益法 (元)'!$H$3:$M$29,'收益法 (元)'!$A$45:$F$71,'收益法 (元)'!$I$46:$N$65</definedName>
    <definedName name="_xlnm.Print_Area" localSheetId="35">'收益法（汇总）'!$A$1:$F$13</definedName>
    <definedName name="_xlnm.Print_Area" localSheetId="32">'收益法-地下车库'!$A$1:$F$43,'收益法-地下车库'!$H$3:$M$29,'收益法-地下车库'!$A$46:$F$71,'收益法-地下车库'!$I$46:$N$65</definedName>
    <definedName name="_xlnm.Print_Area" localSheetId="26">'收益法-地下商业1'!$A$1:$F$43,'收益法-地下商业1'!$H$3:$M$29,'收益法-地下商业1'!$A$46:$F$71,'收益法-地下商业1'!$I$46:$N$65</definedName>
    <definedName name="_xlnm.Print_Area" localSheetId="29">'收益法-地下商业2'!$A$1:$F$43,'收益法-地下商业2'!$H$3:$M$29,'收益法-地下商业2'!$A$46:$F$71,'收益法-地下商业2'!$I$46:$N$65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K7" i="1" l="1"/>
  <c r="AK9" i="1" s="1"/>
  <c r="L9" i="1"/>
  <c r="T14" i="74" l="1"/>
  <c r="T15" i="74" l="1"/>
  <c r="T16" i="74" l="1"/>
  <c r="T17" i="74" l="1"/>
  <c r="G153" i="91" l="1"/>
  <c r="I135" i="91"/>
  <c r="I134" i="91"/>
  <c r="I133" i="91"/>
  <c r="J132" i="91"/>
  <c r="I132" i="91"/>
  <c r="J131" i="91"/>
  <c r="I131" i="91"/>
  <c r="J129" i="91"/>
  <c r="I129" i="91"/>
  <c r="J128" i="91"/>
  <c r="I128" i="91"/>
  <c r="J127" i="91"/>
  <c r="I127" i="91"/>
  <c r="J126" i="91"/>
  <c r="I126" i="91"/>
  <c r="J125" i="91"/>
  <c r="I125" i="91"/>
  <c r="J123" i="91"/>
  <c r="I123" i="91"/>
  <c r="J122" i="91"/>
  <c r="I122" i="91"/>
  <c r="J121" i="91"/>
  <c r="I121" i="91"/>
  <c r="J120" i="91"/>
  <c r="I120" i="91"/>
  <c r="J119" i="91"/>
  <c r="J118" i="91"/>
  <c r="I118" i="91"/>
  <c r="J117" i="91"/>
  <c r="I117" i="91"/>
  <c r="J116" i="91"/>
  <c r="I116" i="91"/>
  <c r="J115" i="91"/>
  <c r="I115" i="91"/>
  <c r="J114" i="91"/>
  <c r="I114" i="91"/>
  <c r="J112" i="91"/>
  <c r="I112" i="91"/>
  <c r="J111" i="91"/>
  <c r="I111" i="91"/>
  <c r="J110" i="91"/>
  <c r="I110" i="91"/>
  <c r="J109" i="91"/>
  <c r="I109" i="91"/>
  <c r="J108" i="91"/>
  <c r="I108" i="91"/>
  <c r="J107" i="91"/>
  <c r="I107" i="91"/>
  <c r="J106" i="91"/>
  <c r="I106" i="91"/>
  <c r="J105" i="91"/>
  <c r="I105" i="91"/>
  <c r="H105" i="91"/>
  <c r="J104" i="91"/>
  <c r="I104" i="91"/>
  <c r="J103" i="91"/>
  <c r="I103" i="91"/>
  <c r="J102" i="91"/>
  <c r="I102" i="91"/>
  <c r="J101" i="91"/>
  <c r="I101" i="91"/>
  <c r="J100" i="91"/>
  <c r="I100" i="91"/>
  <c r="J99" i="91"/>
  <c r="J98" i="91"/>
  <c r="I98" i="91"/>
  <c r="I97" i="91"/>
  <c r="H97" i="91"/>
  <c r="H153" i="91" s="1"/>
  <c r="F97" i="91"/>
  <c r="J97" i="91" s="1"/>
  <c r="J96" i="91"/>
  <c r="I96" i="91"/>
  <c r="J95" i="91"/>
  <c r="I95" i="91"/>
  <c r="J94" i="91"/>
  <c r="I94" i="91"/>
  <c r="J93" i="91"/>
  <c r="I93" i="91"/>
  <c r="J92" i="91"/>
  <c r="I92" i="91"/>
  <c r="J91" i="91"/>
  <c r="I91" i="91"/>
  <c r="J90" i="91"/>
  <c r="I90" i="91"/>
  <c r="J89" i="91"/>
  <c r="I89" i="91"/>
  <c r="J88" i="91"/>
  <c r="I88" i="91"/>
  <c r="J87" i="91"/>
  <c r="I87" i="91"/>
  <c r="J86" i="91"/>
  <c r="I86" i="91"/>
  <c r="J85" i="91"/>
  <c r="I85" i="91"/>
  <c r="J84" i="91"/>
  <c r="I84" i="91"/>
  <c r="J83" i="91"/>
  <c r="I83" i="91"/>
  <c r="J82" i="91"/>
  <c r="I82" i="91"/>
  <c r="J81" i="91"/>
  <c r="I81" i="91"/>
  <c r="J80" i="91"/>
  <c r="I80" i="91"/>
  <c r="J79" i="91"/>
  <c r="I79" i="91"/>
  <c r="J78" i="91"/>
  <c r="I78" i="91"/>
  <c r="J77" i="91"/>
  <c r="I77" i="91"/>
  <c r="J76" i="91"/>
  <c r="I76" i="91"/>
  <c r="J75" i="91"/>
  <c r="I75" i="91"/>
  <c r="J74" i="91"/>
  <c r="I74" i="91"/>
  <c r="J73" i="91"/>
  <c r="I73" i="91"/>
  <c r="J72" i="91"/>
  <c r="I72" i="91"/>
  <c r="J71" i="91"/>
  <c r="I71" i="91"/>
  <c r="J70" i="91"/>
  <c r="I70" i="91"/>
  <c r="J69" i="91"/>
  <c r="I69" i="91"/>
  <c r="J68" i="91"/>
  <c r="I68" i="91"/>
  <c r="J67" i="91"/>
  <c r="I67" i="91"/>
  <c r="J66" i="91"/>
  <c r="I66" i="91"/>
  <c r="J65" i="91"/>
  <c r="I65" i="91"/>
  <c r="J64" i="91"/>
  <c r="I64" i="91"/>
  <c r="J63" i="91"/>
  <c r="I63" i="91"/>
  <c r="J62" i="91"/>
  <c r="I62" i="91"/>
  <c r="J61" i="91"/>
  <c r="I61" i="91"/>
  <c r="J60" i="91"/>
  <c r="I60" i="91"/>
  <c r="J59" i="91"/>
  <c r="I59" i="91"/>
  <c r="J58" i="91"/>
  <c r="I58" i="91"/>
  <c r="J57" i="91"/>
  <c r="I57" i="91"/>
  <c r="J56" i="91"/>
  <c r="I56" i="91"/>
  <c r="J55" i="91"/>
  <c r="I55" i="91"/>
  <c r="J54" i="91"/>
  <c r="I54" i="91"/>
  <c r="J53" i="91"/>
  <c r="I53" i="91"/>
  <c r="J52" i="91"/>
  <c r="I52" i="91"/>
  <c r="J51" i="91"/>
  <c r="I51" i="91"/>
  <c r="J50" i="91"/>
  <c r="I50" i="91"/>
  <c r="J49" i="91"/>
  <c r="I49" i="91"/>
  <c r="J48" i="91"/>
  <c r="I48" i="91"/>
  <c r="J47" i="91"/>
  <c r="I47" i="91"/>
  <c r="J46" i="91"/>
  <c r="I46" i="91"/>
  <c r="J45" i="91"/>
  <c r="I45" i="91"/>
  <c r="J44" i="91"/>
  <c r="I44" i="91"/>
  <c r="J43" i="91"/>
  <c r="I43" i="91"/>
  <c r="J42" i="91"/>
  <c r="I42" i="91"/>
  <c r="J41" i="91"/>
  <c r="I41" i="91"/>
  <c r="J40" i="91"/>
  <c r="I40" i="91"/>
  <c r="J39" i="91"/>
  <c r="I39" i="91"/>
  <c r="J38" i="91"/>
  <c r="I38" i="91"/>
  <c r="J37" i="91"/>
  <c r="I37" i="91"/>
  <c r="J36" i="91"/>
  <c r="I36" i="91"/>
  <c r="J35" i="91"/>
  <c r="I35" i="91"/>
  <c r="J34" i="91"/>
  <c r="I34" i="91"/>
  <c r="J33" i="91"/>
  <c r="I33" i="91"/>
  <c r="J32" i="91"/>
  <c r="I32" i="91"/>
  <c r="J31" i="91"/>
  <c r="I31" i="91"/>
  <c r="J30" i="91"/>
  <c r="I30" i="91"/>
  <c r="J29" i="91"/>
  <c r="I29" i="91"/>
  <c r="J28" i="91"/>
  <c r="I28" i="91"/>
  <c r="J27" i="91"/>
  <c r="I27" i="91"/>
  <c r="J26" i="91"/>
  <c r="I26" i="91"/>
  <c r="J25" i="91"/>
  <c r="I25" i="91"/>
  <c r="J24" i="91"/>
  <c r="I24" i="91"/>
  <c r="D24" i="91"/>
  <c r="D153" i="91" s="1"/>
  <c r="E150" i="91" s="1"/>
  <c r="J23" i="91"/>
  <c r="I23" i="91"/>
  <c r="J22" i="91"/>
  <c r="I22" i="91"/>
  <c r="J21" i="91"/>
  <c r="I21" i="91"/>
  <c r="J20" i="91"/>
  <c r="I20" i="91"/>
  <c r="J19" i="91"/>
  <c r="I19" i="91"/>
  <c r="J18" i="91"/>
  <c r="I18" i="91"/>
  <c r="J17" i="91"/>
  <c r="I17" i="91"/>
  <c r="J16" i="91"/>
  <c r="I16" i="91"/>
  <c r="I153" i="91" s="1"/>
  <c r="J15" i="91"/>
  <c r="J14" i="91"/>
  <c r="J13" i="91"/>
  <c r="J12" i="91"/>
  <c r="J11" i="91"/>
  <c r="J10" i="91"/>
  <c r="J9" i="91"/>
  <c r="J8" i="91"/>
  <c r="J7" i="91"/>
  <c r="J6" i="91"/>
  <c r="J3" i="91"/>
  <c r="D10" i="90" l="1"/>
  <c r="C10" i="90"/>
  <c r="D9" i="90"/>
  <c r="C9" i="90"/>
  <c r="D8" i="90"/>
  <c r="C8" i="90"/>
  <c r="D7" i="90"/>
  <c r="C7" i="90"/>
  <c r="D6" i="90"/>
  <c r="C6" i="90"/>
  <c r="I9" i="1" l="1"/>
  <c r="I7" i="1"/>
  <c r="A120" i="89" l="1"/>
  <c r="H111" i="89"/>
  <c r="D126" i="89" s="1"/>
  <c r="D127" i="89" s="1"/>
  <c r="E111" i="89"/>
  <c r="H112" i="89" s="1"/>
  <c r="E109" i="89"/>
  <c r="A124" i="89" s="1"/>
  <c r="E107" i="89"/>
  <c r="A122" i="89" s="1"/>
  <c r="H106" i="89"/>
  <c r="H103" i="89" s="1"/>
  <c r="D120" i="89" s="1"/>
  <c r="H105" i="89"/>
  <c r="H104" i="89"/>
  <c r="D101" i="89"/>
  <c r="C101" i="89"/>
  <c r="C91" i="89"/>
  <c r="E90" i="89"/>
  <c r="D89" i="89"/>
  <c r="C89" i="89" s="1"/>
  <c r="C87" i="89" s="1"/>
  <c r="H77" i="89"/>
  <c r="D77" i="89"/>
  <c r="C76" i="89"/>
  <c r="F59" i="89"/>
  <c r="E59" i="89"/>
  <c r="N55" i="89" s="1"/>
  <c r="F56" i="89"/>
  <c r="O55" i="89"/>
  <c r="K55" i="89"/>
  <c r="J55" i="89"/>
  <c r="I55" i="89"/>
  <c r="F55" i="89"/>
  <c r="O53" i="89" s="1"/>
  <c r="O54" i="89"/>
  <c r="N54" i="89"/>
  <c r="N53" i="89"/>
  <c r="K49" i="89"/>
  <c r="E48" i="89"/>
  <c r="N52" i="89" s="1"/>
  <c r="D48" i="89"/>
  <c r="M52" i="89" s="1"/>
  <c r="F33" i="89"/>
  <c r="D27" i="89"/>
  <c r="C25" i="89"/>
  <c r="C24" i="89"/>
  <c r="D17" i="89"/>
  <c r="C17" i="89"/>
  <c r="C18" i="89" s="1"/>
  <c r="D18" i="89" s="1"/>
  <c r="L4" i="89"/>
  <c r="K4" i="89"/>
  <c r="H1" i="89"/>
  <c r="A120" i="88"/>
  <c r="E111" i="88"/>
  <c r="H112" i="88" s="1"/>
  <c r="E109" i="88"/>
  <c r="A124" i="88" s="1"/>
  <c r="E107" i="88"/>
  <c r="A122" i="88" s="1"/>
  <c r="H106" i="88"/>
  <c r="H105" i="88"/>
  <c r="H104" i="88"/>
  <c r="D101" i="88"/>
  <c r="C101" i="88"/>
  <c r="C91" i="88"/>
  <c r="E90" i="88"/>
  <c r="D89" i="88"/>
  <c r="C89" i="88"/>
  <c r="C87" i="88" s="1"/>
  <c r="H77" i="88"/>
  <c r="D77" i="88"/>
  <c r="C76" i="88"/>
  <c r="F59" i="88"/>
  <c r="O55" i="88" s="1"/>
  <c r="E59" i="88"/>
  <c r="F56" i="88"/>
  <c r="O54" i="88" s="1"/>
  <c r="N55" i="88"/>
  <c r="K55" i="88"/>
  <c r="J55" i="88"/>
  <c r="I55" i="88"/>
  <c r="F55" i="88"/>
  <c r="O53" i="88" s="1"/>
  <c r="N54" i="88"/>
  <c r="N53" i="88"/>
  <c r="K49" i="88"/>
  <c r="E48" i="88"/>
  <c r="N52" i="88" s="1"/>
  <c r="D48" i="88"/>
  <c r="M52" i="88" s="1"/>
  <c r="F33" i="88"/>
  <c r="D27" i="88"/>
  <c r="C25" i="88"/>
  <c r="C24" i="88"/>
  <c r="D17" i="88"/>
  <c r="C17" i="88"/>
  <c r="L4" i="88"/>
  <c r="K4" i="88"/>
  <c r="H1" i="88"/>
  <c r="A126" i="87"/>
  <c r="A120" i="87"/>
  <c r="H111" i="87"/>
  <c r="D126" i="87" s="1"/>
  <c r="D127" i="87" s="1"/>
  <c r="E111" i="87"/>
  <c r="H112" i="87" s="1"/>
  <c r="E109" i="87"/>
  <c r="A124" i="87" s="1"/>
  <c r="E107" i="87"/>
  <c r="A122" i="87" s="1"/>
  <c r="H106" i="87"/>
  <c r="H103" i="87" s="1"/>
  <c r="D120" i="87" s="1"/>
  <c r="H105" i="87"/>
  <c r="H104" i="87"/>
  <c r="D101" i="87"/>
  <c r="C101" i="87"/>
  <c r="C91" i="87"/>
  <c r="E90" i="87"/>
  <c r="D89" i="87"/>
  <c r="C89" i="87" s="1"/>
  <c r="C87" i="87" s="1"/>
  <c r="H77" i="87"/>
  <c r="D77" i="87"/>
  <c r="C76" i="87"/>
  <c r="F59" i="87"/>
  <c r="E59" i="87"/>
  <c r="N55" i="87" s="1"/>
  <c r="F56" i="87"/>
  <c r="O55" i="87"/>
  <c r="K55" i="87"/>
  <c r="J55" i="87"/>
  <c r="I55" i="87"/>
  <c r="F55" i="87"/>
  <c r="O53" i="87" s="1"/>
  <c r="O54" i="87"/>
  <c r="N54" i="87"/>
  <c r="N53" i="87"/>
  <c r="K49" i="87"/>
  <c r="E48" i="87"/>
  <c r="N52" i="87" s="1"/>
  <c r="D48" i="87"/>
  <c r="M52" i="87" s="1"/>
  <c r="F33" i="87"/>
  <c r="D27" i="87"/>
  <c r="C25" i="87"/>
  <c r="C24" i="87"/>
  <c r="D17" i="87"/>
  <c r="C17" i="87"/>
  <c r="L4" i="87"/>
  <c r="K4" i="87"/>
  <c r="H1" i="87"/>
  <c r="Q72" i="86"/>
  <c r="Q59" i="86"/>
  <c r="K59" i="86"/>
  <c r="P74" i="86" s="1"/>
  <c r="F59" i="86"/>
  <c r="Q58" i="86"/>
  <c r="Q51" i="86"/>
  <c r="J50" i="86"/>
  <c r="M47" i="86"/>
  <c r="D46" i="86"/>
  <c r="F33" i="86"/>
  <c r="F61" i="86" s="1"/>
  <c r="F31" i="86"/>
  <c r="F23" i="86"/>
  <c r="D23" i="86" s="1"/>
  <c r="F21" i="86"/>
  <c r="F20" i="86"/>
  <c r="M19" i="86"/>
  <c r="F18" i="86"/>
  <c r="M17" i="86"/>
  <c r="F17" i="86"/>
  <c r="F15" i="86"/>
  <c r="Q72" i="85"/>
  <c r="Q59" i="85"/>
  <c r="K59" i="85"/>
  <c r="P74" i="85" s="1"/>
  <c r="F59" i="85"/>
  <c r="Q58" i="85"/>
  <c r="Q51" i="85"/>
  <c r="J50" i="85"/>
  <c r="M47" i="85"/>
  <c r="D46" i="85"/>
  <c r="F33" i="85"/>
  <c r="F61" i="85" s="1"/>
  <c r="F31" i="85"/>
  <c r="F23" i="85"/>
  <c r="D24" i="85" s="1"/>
  <c r="D23" i="85"/>
  <c r="D22" i="85"/>
  <c r="F21" i="85"/>
  <c r="F20" i="85"/>
  <c r="M19" i="85"/>
  <c r="F18" i="85"/>
  <c r="M17" i="85"/>
  <c r="F17" i="85"/>
  <c r="F15" i="85"/>
  <c r="Q72" i="84"/>
  <c r="Q59" i="84"/>
  <c r="K59" i="84"/>
  <c r="P74" i="84" s="1"/>
  <c r="F59" i="84"/>
  <c r="Q58" i="84"/>
  <c r="Q51" i="84"/>
  <c r="J50" i="84"/>
  <c r="M47" i="84"/>
  <c r="D46" i="84"/>
  <c r="F33" i="84"/>
  <c r="F61" i="84" s="1"/>
  <c r="F31" i="84"/>
  <c r="F23" i="84"/>
  <c r="D23" i="84" s="1"/>
  <c r="F21" i="84"/>
  <c r="F20" i="84"/>
  <c r="M19" i="84"/>
  <c r="F18" i="84"/>
  <c r="M17" i="84"/>
  <c r="F17" i="84"/>
  <c r="F15" i="84"/>
  <c r="F38" i="83"/>
  <c r="E37" i="83"/>
  <c r="F36" i="83"/>
  <c r="F35" i="83"/>
  <c r="F21" i="83"/>
  <c r="F40" i="83" s="1"/>
  <c r="F20" i="83"/>
  <c r="F39" i="83" s="1"/>
  <c r="E10" i="83"/>
  <c r="E9" i="83"/>
  <c r="F7" i="83"/>
  <c r="F38" i="82"/>
  <c r="E37" i="82"/>
  <c r="F36" i="82"/>
  <c r="F35" i="82"/>
  <c r="F21" i="82"/>
  <c r="F20" i="82"/>
  <c r="F39" i="82" s="1"/>
  <c r="E10" i="82"/>
  <c r="E9" i="82"/>
  <c r="F7" i="82"/>
  <c r="F38" i="81"/>
  <c r="E37" i="81"/>
  <c r="F36" i="81"/>
  <c r="F35" i="81"/>
  <c r="F21" i="81"/>
  <c r="C40" i="81" s="1"/>
  <c r="F20" i="81"/>
  <c r="F39" i="81" s="1"/>
  <c r="E10" i="81"/>
  <c r="E9" i="81"/>
  <c r="F7" i="81"/>
  <c r="U3" i="43"/>
  <c r="D42" i="43"/>
  <c r="AL7" i="1"/>
  <c r="AM7" i="1"/>
  <c r="AL8" i="1"/>
  <c r="AM8" i="1"/>
  <c r="AL9" i="1"/>
  <c r="AM9" i="1"/>
  <c r="V22" i="1"/>
  <c r="X27" i="1"/>
  <c r="U9" i="1" s="1"/>
  <c r="X26" i="1"/>
  <c r="X22" i="1"/>
  <c r="N6" i="1"/>
  <c r="N8" i="1" s="1"/>
  <c r="G22" i="6"/>
  <c r="C12" i="80"/>
  <c r="H12" i="80" s="1"/>
  <c r="E11" i="80"/>
  <c r="C11" i="80"/>
  <c r="H11" i="80" s="1"/>
  <c r="E10" i="80"/>
  <c r="H9" i="80"/>
  <c r="C9" i="80"/>
  <c r="D8" i="80"/>
  <c r="E2" i="81"/>
  <c r="E2" i="83"/>
  <c r="E2" i="82"/>
  <c r="U2" i="43" l="1"/>
  <c r="V21" i="1"/>
  <c r="V23" i="1" s="1"/>
  <c r="M13" i="3"/>
  <c r="G21" i="6" s="1"/>
  <c r="C8" i="80"/>
  <c r="C10" i="80"/>
  <c r="V26" i="1"/>
  <c r="D38" i="43"/>
  <c r="V27" i="1"/>
  <c r="G20" i="6"/>
  <c r="Y6" i="1"/>
  <c r="N7" i="1"/>
  <c r="N9" i="1"/>
  <c r="A126" i="89"/>
  <c r="H103" i="88"/>
  <c r="D120" i="88" s="1"/>
  <c r="H111" i="88"/>
  <c r="D126" i="88" s="1"/>
  <c r="D127" i="88" s="1"/>
  <c r="A126" i="88"/>
  <c r="C18" i="87"/>
  <c r="D18" i="87" s="1"/>
  <c r="C18" i="88"/>
  <c r="D18" i="88" s="1"/>
  <c r="K120" i="89"/>
  <c r="D121" i="89"/>
  <c r="C92" i="89"/>
  <c r="C94" i="89"/>
  <c r="H109" i="89"/>
  <c r="K120" i="88"/>
  <c r="D121" i="88"/>
  <c r="C92" i="88"/>
  <c r="C94" i="88"/>
  <c r="H109" i="88"/>
  <c r="K120" i="87"/>
  <c r="D121" i="87"/>
  <c r="C92" i="87"/>
  <c r="C94" i="87"/>
  <c r="H109" i="87"/>
  <c r="D24" i="86"/>
  <c r="P61" i="86"/>
  <c r="D22" i="86"/>
  <c r="P61" i="85"/>
  <c r="D24" i="84"/>
  <c r="P61" i="84"/>
  <c r="D22" i="84"/>
  <c r="C21" i="83"/>
  <c r="C40" i="83"/>
  <c r="F40" i="82"/>
  <c r="C21" i="82"/>
  <c r="C40" i="82"/>
  <c r="F40" i="81"/>
  <c r="C21" i="81"/>
  <c r="Y22" i="1"/>
  <c r="Y21" i="1"/>
  <c r="X23" i="1" s="1"/>
  <c r="U6" i="1" s="1"/>
  <c r="H8" i="80"/>
  <c r="Y9" i="1" l="1"/>
  <c r="Y7" i="1"/>
  <c r="Y8" i="1"/>
  <c r="V28" i="1"/>
  <c r="Y26" i="1" s="1"/>
  <c r="C18" i="80"/>
  <c r="C21" i="80" s="1"/>
  <c r="I13" i="3"/>
  <c r="F19" i="6" s="1"/>
  <c r="C37" i="74" s="1"/>
  <c r="H10" i="80"/>
  <c r="H13" i="80" s="1"/>
  <c r="K13" i="3"/>
  <c r="D37" i="43"/>
  <c r="D124" i="89"/>
  <c r="D125" i="89" s="1"/>
  <c r="H110" i="89"/>
  <c r="D124" i="88"/>
  <c r="D125" i="88" s="1"/>
  <c r="H110" i="88"/>
  <c r="D124" i="87"/>
  <c r="D125" i="87" s="1"/>
  <c r="H110" i="87"/>
  <c r="Y27" i="1" l="1"/>
  <c r="X28" i="1" s="1"/>
  <c r="U7" i="1" s="1"/>
  <c r="C19" i="81"/>
  <c r="C19" i="82"/>
  <c r="C19" i="83"/>
  <c r="J16" i="74" l="1"/>
  <c r="J15" i="74"/>
  <c r="J14" i="74" l="1"/>
  <c r="J24" i="74"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3" i="79" l="1"/>
  <c r="AD3" i="79" s="1"/>
  <c r="AB3" i="79"/>
  <c r="L3" i="79"/>
  <c r="R5" i="79"/>
  <c r="V5" i="79"/>
  <c r="S13" i="79"/>
  <c r="U13" i="79"/>
  <c r="T5" i="79"/>
  <c r="W5" i="79" s="1"/>
  <c r="R8" i="79"/>
  <c r="R7" i="79"/>
  <c r="R6" i="79"/>
  <c r="P9" i="79"/>
  <c r="T8" i="79"/>
  <c r="W8" i="79" s="1"/>
  <c r="T6" i="79"/>
  <c r="W6" i="79" s="1"/>
  <c r="T7" i="79"/>
  <c r="W7" i="79" s="1"/>
  <c r="V9" i="79"/>
  <c r="V8" i="79"/>
  <c r="V6" i="79"/>
  <c r="V7" i="79"/>
  <c r="T26" i="79"/>
  <c r="W26" i="79" s="1"/>
  <c r="T27" i="79"/>
  <c r="W27" i="79" s="1"/>
  <c r="T28" i="79"/>
  <c r="W28" i="79" s="1"/>
  <c r="K3" i="79"/>
  <c r="M3" i="79"/>
  <c r="P3" i="79" s="1"/>
  <c r="O3" i="79"/>
  <c r="T3" i="79"/>
  <c r="W3" i="79" s="1"/>
  <c r="V3" i="79"/>
  <c r="S5" i="79"/>
  <c r="U5" i="79"/>
  <c r="P5" i="79"/>
  <c r="S9" i="79"/>
  <c r="S7" i="79"/>
  <c r="S6" i="79"/>
  <c r="S8" i="79"/>
  <c r="U9" i="79"/>
  <c r="U6" i="79"/>
  <c r="U8" i="79"/>
  <c r="U7" i="79"/>
  <c r="R10" i="79"/>
  <c r="T10" i="79"/>
  <c r="W10" i="79" s="1"/>
  <c r="V10" i="79"/>
  <c r="S11" i="79"/>
  <c r="U11" i="79"/>
  <c r="R12" i="79"/>
  <c r="T12" i="79"/>
  <c r="W12" i="79" s="1"/>
  <c r="V12" i="79"/>
  <c r="R13" i="79"/>
  <c r="V13" i="79"/>
  <c r="M23" i="79"/>
  <c r="P23" i="79" s="1"/>
  <c r="T23" i="79"/>
  <c r="W23" i="79" s="1"/>
  <c r="T25" i="79"/>
  <c r="W25" i="79" s="1"/>
  <c r="S27" i="79"/>
  <c r="S28" i="79"/>
  <c r="S26"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E24" i="71" s="1"/>
  <c r="O24" i="71"/>
  <c r="C24" i="7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O33" i="71"/>
  <c r="N33" i="71"/>
  <c r="D33" i="71"/>
  <c r="Q32" i="71"/>
  <c r="AB32" i="71" s="1"/>
  <c r="P32" i="71"/>
  <c r="O32" i="71"/>
  <c r="Y32" i="71" s="1"/>
  <c r="Z32" i="71" s="1"/>
  <c r="N32" i="71"/>
  <c r="Q31" i="71"/>
  <c r="P31" i="71"/>
  <c r="O31" i="71"/>
  <c r="Y31" i="71"/>
  <c r="Z31" i="71" s="1"/>
  <c r="N31" i="71"/>
  <c r="Q30" i="71"/>
  <c r="AB30" i="71" s="1"/>
  <c r="P30" i="71"/>
  <c r="O30" i="71"/>
  <c r="Y30" i="71" s="1"/>
  <c r="Z30" i="71" s="1"/>
  <c r="N30" i="71"/>
  <c r="Q29" i="71"/>
  <c r="F30" i="71" s="1"/>
  <c r="P29" i="71"/>
  <c r="AA29" i="71" s="1"/>
  <c r="O29" i="71"/>
  <c r="N29" i="71"/>
  <c r="D29" i="71"/>
  <c r="O28" i="71"/>
  <c r="N28" i="71"/>
  <c r="B30" i="71"/>
  <c r="B31" i="71" s="1"/>
  <c r="B32" i="71" s="1"/>
  <c r="S32" i="71" s="1"/>
  <c r="E30" i="71"/>
  <c r="E31" i="71" s="1"/>
  <c r="E32" i="71" s="1"/>
  <c r="U32" i="71" s="1"/>
  <c r="B34" i="71"/>
  <c r="B35" i="71" s="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C28" i="71"/>
  <c r="Y25" i="71"/>
  <c r="Z25" i="71" s="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s="1"/>
  <c r="U60" i="71" s="1"/>
  <c r="U68" i="71"/>
  <c r="E67" i="71"/>
  <c r="Q28" i="71"/>
  <c r="C55" i="71"/>
  <c r="D54" i="71"/>
  <c r="C59" i="71"/>
  <c r="D58"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s="1"/>
  <c r="E26" i="71" s="1"/>
  <c r="AA3" i="71"/>
  <c r="AA25" i="71"/>
  <c r="AA26" i="71"/>
  <c r="AA27" i="71"/>
  <c r="AA28" i="71"/>
  <c r="D28" i="71"/>
  <c r="U28" i="71"/>
  <c r="C66" i="71"/>
  <c r="O67" i="71"/>
  <c r="D67" i="71"/>
  <c r="D83" i="71"/>
  <c r="C82" i="71"/>
  <c r="D82" i="71"/>
  <c r="D75" i="71"/>
  <c r="C74" i="71"/>
  <c r="D74" i="71" s="1"/>
  <c r="N65" i="71"/>
  <c r="N66" i="71"/>
  <c r="D87" i="71"/>
  <c r="C86" i="71"/>
  <c r="D86" i="71" s="1"/>
  <c r="D79" i="71"/>
  <c r="C78" i="71"/>
  <c r="D78" i="71" s="1"/>
  <c r="D71" i="71"/>
  <c r="C70" i="71"/>
  <c r="D70" i="71"/>
  <c r="C60" i="71"/>
  <c r="D59" i="71"/>
  <c r="C56" i="71"/>
  <c r="D55" i="71"/>
  <c r="P67" i="71"/>
  <c r="E66" i="71"/>
  <c r="P65" i="71" s="1"/>
  <c r="C52" i="71"/>
  <c r="D51" i="71"/>
  <c r="C40" i="71"/>
  <c r="D39" i="71"/>
  <c r="C32" i="71"/>
  <c r="D31" i="71"/>
  <c r="C26" i="71"/>
  <c r="D26" i="71"/>
  <c r="D27" i="71"/>
  <c r="V28" i="71"/>
  <c r="O66" i="71"/>
  <c r="D66" i="71"/>
  <c r="O65" i="71"/>
  <c r="T32" i="71"/>
  <c r="D32" i="71"/>
  <c r="T40" i="71"/>
  <c r="D40"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E83" i="21"/>
  <c r="F83" i="21" s="1"/>
  <c r="S21" i="21"/>
  <c r="H1" i="69"/>
  <c r="W25" i="40"/>
  <c r="U25" i="40"/>
  <c r="U29" i="39"/>
  <c r="W29" i="39"/>
  <c r="W18" i="36"/>
  <c r="AB21" i="37"/>
  <c r="U21" i="37"/>
  <c r="U21" i="34"/>
  <c r="AA21" i="33"/>
  <c r="S21" i="33"/>
  <c r="U18" i="35"/>
  <c r="AC18" i="35"/>
  <c r="W18" i="35"/>
  <c r="J21" i="37"/>
  <c r="J21" i="34"/>
  <c r="W21" i="34" s="1"/>
  <c r="J21" i="33"/>
  <c r="AC21" i="33" s="1"/>
  <c r="H21" i="21"/>
  <c r="AB21" i="21" s="1"/>
  <c r="F38" i="69"/>
  <c r="E37" i="69"/>
  <c r="F36" i="69"/>
  <c r="F35" i="69"/>
  <c r="F21" i="69"/>
  <c r="F40" i="69" s="1"/>
  <c r="F20" i="69"/>
  <c r="F39" i="69" s="1"/>
  <c r="E10" i="69"/>
  <c r="E9" i="69"/>
  <c r="C7" i="69"/>
  <c r="AC21" i="37"/>
  <c r="W21" i="37"/>
  <c r="AC21" i="34"/>
  <c r="W21" i="33"/>
  <c r="U21" i="21"/>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D79" i="37"/>
  <c r="E79" i="37" s="1"/>
  <c r="D75" i="37"/>
  <c r="E75" i="37" s="1"/>
  <c r="D73" i="37"/>
  <c r="E73" i="37" s="1"/>
  <c r="F73" i="37" s="1"/>
  <c r="D71" i="37"/>
  <c r="E71" i="37" s="1"/>
  <c r="F71" i="37" s="1"/>
  <c r="G71" i="37" s="1"/>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s="1"/>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F12" i="34"/>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c r="B126" i="21"/>
  <c r="B98" i="21"/>
  <c r="B96" i="21"/>
  <c r="B94" i="21"/>
  <c r="J29" i="21" s="1"/>
  <c r="AC29" i="21" s="1"/>
  <c r="B92" i="21"/>
  <c r="B90" i="21"/>
  <c r="J27" i="2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J34" i="21"/>
  <c r="W34" i="21" s="1"/>
  <c r="H36" i="21"/>
  <c r="F35" i="21"/>
  <c r="AA35" i="21" s="1"/>
  <c r="J10" i="21"/>
  <c r="AC10" i="21" s="1"/>
  <c r="H26" i="21"/>
  <c r="AB26" i="21" s="1"/>
  <c r="AB19" i="21"/>
  <c r="J19" i="21"/>
  <c r="J12" i="21"/>
  <c r="AC12" i="21" s="1"/>
  <c r="H12" i="21"/>
  <c r="AB12" i="21" s="1"/>
  <c r="J26" i="21"/>
  <c r="W26" i="21" s="1"/>
  <c r="F26" i="21"/>
  <c r="S26" i="21" s="1"/>
  <c r="S41" i="21"/>
  <c r="AA41" i="21"/>
  <c r="F45" i="39"/>
  <c r="S45" i="39" s="1"/>
  <c r="J45" i="39"/>
  <c r="W45" i="39" s="1"/>
  <c r="J44" i="39"/>
  <c r="AC44" i="39" s="1"/>
  <c r="J35" i="39"/>
  <c r="AC35" i="39" s="1"/>
  <c r="F35" i="39"/>
  <c r="AA35" i="39" s="1"/>
  <c r="U9" i="39"/>
  <c r="W40" i="39"/>
  <c r="U30" i="37"/>
  <c r="E103" i="37"/>
  <c r="F103" i="37" s="1"/>
  <c r="G103" i="37" s="1"/>
  <c r="H103" i="37" s="1"/>
  <c r="I103" i="37" s="1"/>
  <c r="J103" i="37" s="1"/>
  <c r="K103" i="37" s="1"/>
  <c r="L103" i="37" s="1"/>
  <c r="M103" i="37" s="1"/>
  <c r="F39" i="37"/>
  <c r="S39" i="37" s="1"/>
  <c r="F29" i="36"/>
  <c r="AA29" i="36" s="1"/>
  <c r="F16" i="36"/>
  <c r="AA16" i="36"/>
  <c r="W28" i="36"/>
  <c r="J33" i="36"/>
  <c r="AC33" i="36" s="1"/>
  <c r="H22" i="35"/>
  <c r="AB22" i="35"/>
  <c r="AC27" i="35"/>
  <c r="W28" i="35"/>
  <c r="S34" i="35"/>
  <c r="W34" i="35"/>
  <c r="W36" i="35"/>
  <c r="W22" i="35"/>
  <c r="S31" i="35"/>
  <c r="F36" i="34"/>
  <c r="J35" i="34"/>
  <c r="W9" i="34"/>
  <c r="U34" i="34"/>
  <c r="H39" i="33"/>
  <c r="AB39" i="33" s="1"/>
  <c r="F26" i="33"/>
  <c r="U33" i="33"/>
  <c r="S40" i="33"/>
  <c r="W39" i="33"/>
  <c r="H39" i="37"/>
  <c r="AB39" i="37"/>
  <c r="S27" i="35"/>
  <c r="F11" i="40"/>
  <c r="AA11" i="40" s="1"/>
  <c r="H11" i="40"/>
  <c r="W8" i="40"/>
  <c r="AC40" i="40"/>
  <c r="AA9" i="40"/>
  <c r="AC9" i="40"/>
  <c r="U9" i="40"/>
  <c r="S34" i="40"/>
  <c r="S40"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F19" i="39"/>
  <c r="AA19" i="39" s="1"/>
  <c r="H17" i="39"/>
  <c r="AB17" i="39" s="1"/>
  <c r="F17" i="39"/>
  <c r="AA17" i="39" s="1"/>
  <c r="J23" i="40"/>
  <c r="AC23" i="40" s="1"/>
  <c r="F21" i="40"/>
  <c r="AA21" i="40" s="1"/>
  <c r="J21" i="40"/>
  <c r="H42" i="39"/>
  <c r="AB42" i="39" s="1"/>
  <c r="J34" i="39"/>
  <c r="AC34" i="39" s="1"/>
  <c r="F100" i="39"/>
  <c r="G100" i="39" s="1"/>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s="1"/>
  <c r="H23" i="40"/>
  <c r="AB23" i="40" s="1"/>
  <c r="H17" i="40"/>
  <c r="U17" i="40" s="1"/>
  <c r="J15" i="40"/>
  <c r="W15" i="40" s="1"/>
  <c r="J11" i="40"/>
  <c r="W11" i="40" s="1"/>
  <c r="AB12" i="33"/>
  <c r="AB12" i="35"/>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J32" i="35"/>
  <c r="AC32" i="35" s="1"/>
  <c r="J16" i="35"/>
  <c r="AC16" i="35" s="1"/>
  <c r="H16" i="35"/>
  <c r="U16" i="35" s="1"/>
  <c r="F16" i="35"/>
  <c r="S16" i="35" s="1"/>
  <c r="H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H36" i="34"/>
  <c r="U36" i="34"/>
  <c r="F37" i="34"/>
  <c r="AA37" i="34" s="1"/>
  <c r="F28" i="34"/>
  <c r="AA28" i="34" s="1"/>
  <c r="F25" i="34"/>
  <c r="S25" i="34" s="1"/>
  <c r="H23" i="34"/>
  <c r="U23" i="34" s="1"/>
  <c r="J23" i="34"/>
  <c r="F19" i="34"/>
  <c r="S19" i="34" s="1"/>
  <c r="H17" i="34"/>
  <c r="U17" i="34" s="1"/>
  <c r="F15" i="34"/>
  <c r="J15" i="34"/>
  <c r="AC15" i="34" s="1"/>
  <c r="H15" i="34"/>
  <c r="AB15" i="34" s="1"/>
  <c r="W8" i="34"/>
  <c r="J28" i="34"/>
  <c r="W28" i="34" s="1"/>
  <c r="F41" i="33"/>
  <c r="AA41" i="33" s="1"/>
  <c r="S38" i="33"/>
  <c r="F32" i="33"/>
  <c r="AA32" i="33" s="1"/>
  <c r="J19" i="33"/>
  <c r="AC19" i="33" s="1"/>
  <c r="J15" i="33"/>
  <c r="AC15" i="33" s="1"/>
  <c r="F11" i="33"/>
  <c r="AA11" i="33" s="1"/>
  <c r="U40" i="33"/>
  <c r="W40" i="33"/>
  <c r="F37" i="40"/>
  <c r="AA37" i="40" s="1"/>
  <c r="F36" i="40"/>
  <c r="H28" i="40"/>
  <c r="U28" i="40" s="1"/>
  <c r="F23" i="40"/>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AB42" i="34"/>
  <c r="J40" i="34"/>
  <c r="G114" i="34"/>
  <c r="H114" i="34" s="1"/>
  <c r="I114" i="34" s="1"/>
  <c r="J114" i="34" s="1"/>
  <c r="K114" i="34"/>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G113" i="33"/>
  <c r="H113" i="33" s="1"/>
  <c r="I113" i="33" s="1"/>
  <c r="J113" i="33" s="1"/>
  <c r="K113" i="33" s="1"/>
  <c r="L113" i="33" s="1"/>
  <c r="M113" i="33" s="1"/>
  <c r="H37" i="33"/>
  <c r="AB37" i="33" s="1"/>
  <c r="H15" i="33"/>
  <c r="AB15" i="33" s="1"/>
  <c r="H11" i="33"/>
  <c r="AB11" i="33" s="1"/>
  <c r="F28" i="40"/>
  <c r="AA28" i="40" s="1"/>
  <c r="AA29" i="35"/>
  <c r="S42" i="34"/>
  <c r="AC38" i="34"/>
  <c r="AA38" i="34"/>
  <c r="J37" i="34"/>
  <c r="AC37" i="34" s="1"/>
  <c r="J11" i="33"/>
  <c r="W11" i="33" s="1"/>
  <c r="S28" i="34"/>
  <c r="U23" i="40"/>
  <c r="J42" i="21"/>
  <c r="AC42" i="21" s="1"/>
  <c r="H42" i="21"/>
  <c r="J44" i="34"/>
  <c r="F44" i="34"/>
  <c r="AA44" i="34"/>
  <c r="J10" i="35"/>
  <c r="AC10" i="35" s="1"/>
  <c r="W14" i="21"/>
  <c r="F14" i="21"/>
  <c r="S14" i="21"/>
  <c r="H14" i="21"/>
  <c r="U14"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7" i="21"/>
  <c r="AB27" i="21" s="1"/>
  <c r="F27" i="21"/>
  <c r="AA27" i="21" s="1"/>
  <c r="H29" i="21"/>
  <c r="U29" i="21" s="1"/>
  <c r="F45" i="21"/>
  <c r="AA45" i="21" s="1"/>
  <c r="F27" i="33"/>
  <c r="AA27" i="33" s="1"/>
  <c r="J13" i="33"/>
  <c r="H13" i="33"/>
  <c r="U13" i="33" s="1"/>
  <c r="F13" i="33"/>
  <c r="S13" i="33" s="1"/>
  <c r="J29" i="33"/>
  <c r="AC29" i="33" s="1"/>
  <c r="H29" i="33"/>
  <c r="U29" i="33" s="1"/>
  <c r="F29" i="33"/>
  <c r="S29" i="33" s="1"/>
  <c r="J31" i="33"/>
  <c r="W31" i="33" s="1"/>
  <c r="H31" i="33"/>
  <c r="F31" i="33"/>
  <c r="S31" i="33" s="1"/>
  <c r="H45" i="33"/>
  <c r="U45" i="33" s="1"/>
  <c r="J45" i="33"/>
  <c r="W45" i="33" s="1"/>
  <c r="F45" i="33"/>
  <c r="AA45" i="33" s="1"/>
  <c r="J14" i="34"/>
  <c r="W14" i="34" s="1"/>
  <c r="F14" i="34"/>
  <c r="S14" i="34" s="1"/>
  <c r="H14" i="34"/>
  <c r="H30" i="34"/>
  <c r="AB30" i="34" s="1"/>
  <c r="F30" i="34"/>
  <c r="S30" i="34" s="1"/>
  <c r="J30" i="34"/>
  <c r="W30" i="34" s="1"/>
  <c r="H32" i="34"/>
  <c r="F32" i="34"/>
  <c r="AA32" i="34" s="1"/>
  <c r="J32" i="34"/>
  <c r="W32" i="34" s="1"/>
  <c r="H46" i="34"/>
  <c r="U46" i="34" s="1"/>
  <c r="F46" i="34"/>
  <c r="J46" i="34"/>
  <c r="AC46" i="34" s="1"/>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E89" i="37"/>
  <c r="F89" i="37" s="1"/>
  <c r="G89" i="37"/>
  <c r="H89" i="37" s="1"/>
  <c r="I89" i="37" s="1"/>
  <c r="J89" i="37" s="1"/>
  <c r="K89" i="37" s="1"/>
  <c r="L89" i="37" s="1"/>
  <c r="M89" i="37" s="1"/>
  <c r="J29" i="37"/>
  <c r="W29" i="37"/>
  <c r="F29" i="37"/>
  <c r="S29" i="37"/>
  <c r="F105" i="37"/>
  <c r="H36" i="37"/>
  <c r="F107" i="37"/>
  <c r="J37" i="37"/>
  <c r="AC37" i="37" s="1"/>
  <c r="H37" i="37"/>
  <c r="U37" i="37" s="1"/>
  <c r="H40" i="37"/>
  <c r="U40" i="37" s="1"/>
  <c r="J40" i="37"/>
  <c r="AC40" i="37" s="1"/>
  <c r="F40" i="37"/>
  <c r="AA40" i="37" s="1"/>
  <c r="W12" i="40"/>
  <c r="H14" i="33"/>
  <c r="U14" i="33"/>
  <c r="F14" i="33"/>
  <c r="S14" i="33"/>
  <c r="J14" i="33"/>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43" i="39"/>
  <c r="AA43" i="39"/>
  <c r="H43" i="39"/>
  <c r="J14" i="39"/>
  <c r="AC14" i="39" s="1"/>
  <c r="F14" i="39"/>
  <c r="H14" i="39"/>
  <c r="AB14" i="39" s="1"/>
  <c r="F12" i="40"/>
  <c r="S12" i="40" s="1"/>
  <c r="H12" i="40"/>
  <c r="H30" i="40"/>
  <c r="AB30" i="40" s="1"/>
  <c r="F33" i="40"/>
  <c r="H33" i="40"/>
  <c r="J35" i="40"/>
  <c r="J37" i="40"/>
  <c r="AC37" i="40" s="1"/>
  <c r="H13" i="40"/>
  <c r="J13" i="40"/>
  <c r="W13" i="40" s="1"/>
  <c r="F13" i="40"/>
  <c r="AA13" i="40" s="1"/>
  <c r="F14" i="37"/>
  <c r="S14" i="37" s="1"/>
  <c r="F27" i="37"/>
  <c r="AA27" i="37" s="1"/>
  <c r="F13" i="39"/>
  <c r="S13" i="39" s="1"/>
  <c r="J13" i="39"/>
  <c r="W13" i="39" s="1"/>
  <c r="H13" i="39"/>
  <c r="AB13" i="39" s="1"/>
  <c r="J14" i="37"/>
  <c r="AC14" i="37" s="1"/>
  <c r="J27" i="37"/>
  <c r="AC27" i="37" s="1"/>
  <c r="AA44" i="33"/>
  <c r="U31" i="34"/>
  <c r="AA14" i="33"/>
  <c r="J36" i="37"/>
  <c r="G105" i="37"/>
  <c r="J10" i="36"/>
  <c r="AC10" i="36" s="1"/>
  <c r="AB26" i="33"/>
  <c r="AB30" i="21"/>
  <c r="AA14" i="37"/>
  <c r="AC13" i="36"/>
  <c r="W13" i="36"/>
  <c r="S11" i="36"/>
  <c r="AB46" i="34"/>
  <c r="AC30" i="34"/>
  <c r="AA14" i="34"/>
  <c r="S45" i="33"/>
  <c r="AB45" i="33"/>
  <c r="AB31" i="33"/>
  <c r="U31" i="33"/>
  <c r="W29" i="33"/>
  <c r="S44" i="34"/>
  <c r="BA586" i="3"/>
  <c r="BA585" i="3"/>
  <c r="F17" i="21"/>
  <c r="AA17" i="21" s="1"/>
  <c r="H17" i="21"/>
  <c r="AB17" i="21" s="1"/>
  <c r="F15" i="21"/>
  <c r="S15" i="21" s="1"/>
  <c r="J41" i="39"/>
  <c r="W41" i="39" s="1"/>
  <c r="AC45" i="39"/>
  <c r="W44" i="39"/>
  <c r="W35" i="39"/>
  <c r="S35" i="39"/>
  <c r="G544" i="3"/>
  <c r="G540" i="3"/>
  <c r="G536" i="3"/>
  <c r="G535" i="3"/>
  <c r="G532" i="3"/>
  <c r="G531" i="3"/>
  <c r="G528" i="3"/>
  <c r="G527" i="3"/>
  <c r="G514" i="3"/>
  <c r="G500" i="3"/>
  <c r="G584" i="3"/>
  <c r="G580" i="3"/>
  <c r="G576" i="3"/>
  <c r="G572" i="3"/>
  <c r="G568" i="3"/>
  <c r="G564" i="3"/>
  <c r="G560" i="3"/>
  <c r="G554" i="3"/>
  <c r="G550" i="3"/>
  <c r="BL584" i="3"/>
  <c r="BL580" i="3"/>
  <c r="BL576" i="3"/>
  <c r="BL572" i="3"/>
  <c r="BL568" i="3"/>
  <c r="BL564" i="3"/>
  <c r="BL560" i="3"/>
  <c r="BL554" i="3"/>
  <c r="BL546" i="3"/>
  <c r="BL542" i="3"/>
  <c r="BL538" i="3"/>
  <c r="BL534" i="3"/>
  <c r="BL530" i="3"/>
  <c r="BL526" i="3"/>
  <c r="BL516" i="3"/>
  <c r="BL498" i="3"/>
  <c r="BL582" i="3"/>
  <c r="BL578" i="3"/>
  <c r="BL574" i="3"/>
  <c r="BL570" i="3"/>
  <c r="BL566" i="3"/>
  <c r="BL562" i="3"/>
  <c r="BL556" i="3"/>
  <c r="BL552" i="3"/>
  <c r="BL544" i="3"/>
  <c r="BL540" i="3"/>
  <c r="BL536" i="3"/>
  <c r="G533" i="3"/>
  <c r="BL532" i="3"/>
  <c r="G529" i="3"/>
  <c r="BL528" i="3"/>
  <c r="BL524" i="3"/>
  <c r="BL504"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s="1"/>
  <c r="BA554" i="3"/>
  <c r="AZ554" i="3" s="1"/>
  <c r="BA552" i="3"/>
  <c r="AZ552" i="3" s="1"/>
  <c r="BA548" i="3"/>
  <c r="BA546" i="3"/>
  <c r="BA544" i="3"/>
  <c r="BA542" i="3"/>
  <c r="AZ542" i="3" s="1"/>
  <c r="BA540" i="3"/>
  <c r="AZ540" i="3" s="1"/>
  <c r="BA538" i="3"/>
  <c r="AZ538" i="3" s="1"/>
  <c r="BA536" i="3"/>
  <c r="BA534" i="3"/>
  <c r="AZ534" i="3" s="1"/>
  <c r="BA532" i="3"/>
  <c r="BA530" i="3"/>
  <c r="AZ530" i="3" s="1"/>
  <c r="BA528" i="3"/>
  <c r="AZ528" i="3"/>
  <c r="BA526" i="3"/>
  <c r="AZ526" i="3"/>
  <c r="BA512" i="3"/>
  <c r="BA508" i="3"/>
  <c r="BA502" i="3"/>
  <c r="BA496" i="3"/>
  <c r="BA583" i="3"/>
  <c r="BA581" i="3"/>
  <c r="BA579" i="3"/>
  <c r="BA577" i="3"/>
  <c r="BA575" i="3"/>
  <c r="BA573" i="3"/>
  <c r="BA571" i="3"/>
  <c r="BA569" i="3"/>
  <c r="BA567" i="3"/>
  <c r="BA565" i="3"/>
  <c r="BA563" i="3"/>
  <c r="BA561" i="3"/>
  <c r="AZ561" i="3" s="1"/>
  <c r="BA559" i="3"/>
  <c r="BA555" i="3"/>
  <c r="BA553" i="3"/>
  <c r="BA549" i="3"/>
  <c r="BA547" i="3"/>
  <c r="BA545" i="3"/>
  <c r="AZ545" i="3" s="1"/>
  <c r="BA543" i="3"/>
  <c r="BA541" i="3"/>
  <c r="BA539" i="3"/>
  <c r="BA537" i="3"/>
  <c r="AZ537" i="3" s="1"/>
  <c r="BA535" i="3"/>
  <c r="BA533" i="3"/>
  <c r="BA531" i="3"/>
  <c r="BA529" i="3"/>
  <c r="AZ529" i="3" s="1"/>
  <c r="BA527" i="3"/>
  <c r="BA525" i="3"/>
  <c r="BA515" i="3"/>
  <c r="BA505" i="3"/>
  <c r="BA497"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s="1"/>
  <c r="BQ575" i="3"/>
  <c r="BL575" i="3" s="1"/>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c r="AZ553" i="3" s="1"/>
  <c r="BQ551" i="3"/>
  <c r="BL551" i="3" s="1"/>
  <c r="BQ549" i="3"/>
  <c r="BQ547" i="3"/>
  <c r="BL547" i="3"/>
  <c r="AZ547" i="3" s="1"/>
  <c r="BQ545" i="3"/>
  <c r="BL545" i="3" s="1"/>
  <c r="BQ543" i="3"/>
  <c r="BL543" i="3" s="1"/>
  <c r="AZ543" i="3" s="1"/>
  <c r="BQ541" i="3"/>
  <c r="BL541" i="3" s="1"/>
  <c r="BQ539" i="3"/>
  <c r="BL539" i="3"/>
  <c r="AZ539" i="3" s="1"/>
  <c r="BQ537" i="3"/>
  <c r="BL537" i="3" s="1"/>
  <c r="BQ535" i="3"/>
  <c r="BL535" i="3" s="1"/>
  <c r="AZ535" i="3" s="1"/>
  <c r="BQ533" i="3"/>
  <c r="BL533" i="3" s="1"/>
  <c r="BQ531" i="3"/>
  <c r="BL531" i="3"/>
  <c r="AZ531" i="3" s="1"/>
  <c r="BQ529" i="3"/>
  <c r="BL529" i="3" s="1"/>
  <c r="BQ527" i="3"/>
  <c r="BL527" i="3" s="1"/>
  <c r="AZ527" i="3" s="1"/>
  <c r="BQ525" i="3"/>
  <c r="BQ523" i="3"/>
  <c r="BA521" i="3"/>
  <c r="AC521" i="3"/>
  <c r="G521" i="3" s="1"/>
  <c r="BQ521" i="3"/>
  <c r="G519" i="3"/>
  <c r="G511" i="3"/>
  <c r="BQ519" i="3"/>
  <c r="BL519" i="3"/>
  <c r="BQ517" i="3"/>
  <c r="BQ515" i="3"/>
  <c r="BL515" i="3" s="1"/>
  <c r="BQ513" i="3"/>
  <c r="BQ511" i="3"/>
  <c r="BL511" i="3"/>
  <c r="AC509" i="3"/>
  <c r="BQ509" i="3"/>
  <c r="BL508" i="3"/>
  <c r="G503" i="3"/>
  <c r="G495" i="3"/>
  <c r="BQ507" i="3"/>
  <c r="BL507" i="3" s="1"/>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F39" i="33"/>
  <c r="AA39" i="33" s="1"/>
  <c r="E123" i="33"/>
  <c r="F123" i="33" s="1"/>
  <c r="F42" i="33"/>
  <c r="AA42" i="33"/>
  <c r="H28" i="34"/>
  <c r="AB28" i="34"/>
  <c r="F14" i="36"/>
  <c r="AA14" i="36"/>
  <c r="F22" i="36"/>
  <c r="S22" i="36"/>
  <c r="F26" i="36"/>
  <c r="S26" i="36"/>
  <c r="H27" i="34"/>
  <c r="AB27" i="34"/>
  <c r="H35" i="34"/>
  <c r="U35" i="34"/>
  <c r="F41" i="34"/>
  <c r="S41" i="34"/>
  <c r="H41" i="34"/>
  <c r="U41" i="34"/>
  <c r="J41" i="34"/>
  <c r="AC41" i="34"/>
  <c r="F10" i="35"/>
  <c r="S10" i="35" s="1"/>
  <c r="F24" i="35"/>
  <c r="H24" i="35"/>
  <c r="AB24" i="35" s="1"/>
  <c r="H23" i="37"/>
  <c r="AB23" i="37" s="1"/>
  <c r="J32" i="37"/>
  <c r="AC32" i="37" s="1"/>
  <c r="F36" i="37"/>
  <c r="AA36" i="37" s="1"/>
  <c r="F37" i="37"/>
  <c r="F31" i="40"/>
  <c r="AA31" i="40" s="1"/>
  <c r="H31" i="40"/>
  <c r="U31" i="40" s="1"/>
  <c r="F32" i="40"/>
  <c r="H32" i="40"/>
  <c r="J36" i="40"/>
  <c r="AA41" i="34"/>
  <c r="H19" i="37"/>
  <c r="AB19" i="37" s="1"/>
  <c r="G123" i="33"/>
  <c r="H123" i="33" s="1"/>
  <c r="I123" i="33" s="1"/>
  <c r="J123" i="33" s="1"/>
  <c r="K123" i="33" s="1"/>
  <c r="L123" i="33" s="1"/>
  <c r="M123" i="33" s="1"/>
  <c r="H42" i="33"/>
  <c r="AB42" i="33"/>
  <c r="J43" i="33"/>
  <c r="U43" i="33"/>
  <c r="S28" i="31"/>
  <c r="S27" i="31"/>
  <c r="S26" i="31"/>
  <c r="U35" i="35"/>
  <c r="AA12" i="35"/>
  <c r="W14" i="37"/>
  <c r="U33" i="37"/>
  <c r="U39" i="37"/>
  <c r="W47" i="34"/>
  <c r="AB13" i="34"/>
  <c r="AC36"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F15" i="37"/>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c r="F88" i="40"/>
  <c r="G88" i="40"/>
  <c r="F19" i="40"/>
  <c r="S19" i="40"/>
  <c r="W23" i="39"/>
  <c r="AC43" i="39"/>
  <c r="W43" i="39"/>
  <c r="U45" i="39"/>
  <c r="AB45"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7"/>
  <c r="C52" i="37" s="1"/>
  <c r="D52" i="37" s="1"/>
  <c r="C7" i="34"/>
  <c r="C7" i="36"/>
  <c r="C46" i="36" s="1"/>
  <c r="D46" i="36" s="1"/>
  <c r="E46" i="36" s="1"/>
  <c r="F46" i="36" s="1"/>
  <c r="G46" i="36" s="1"/>
  <c r="H46" i="36" s="1"/>
  <c r="I46" i="36" s="1"/>
  <c r="A118" i="9"/>
  <c r="A4" i="52"/>
  <c r="B41" i="72" s="1"/>
  <c r="J11" i="39"/>
  <c r="F11" i="39"/>
  <c r="AA11" i="39" s="1"/>
  <c r="G4" i="4"/>
  <c r="I4" i="4"/>
  <c r="A2" i="9"/>
  <c r="F61" i="43"/>
  <c r="AZ20" i="3"/>
  <c r="AZ24" i="3"/>
  <c r="AZ28" i="3"/>
  <c r="BL549" i="3"/>
  <c r="AZ546" i="3"/>
  <c r="G546"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BA360" i="3"/>
  <c r="AZ360" i="3" s="1"/>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G193" i="3"/>
  <c r="BA195" i="3"/>
  <c r="AZ195" i="3" s="1"/>
  <c r="BL196" i="3"/>
  <c r="AZ196" i="3" s="1"/>
  <c r="G197" i="3"/>
  <c r="BA199" i="3"/>
  <c r="BL200" i="3"/>
  <c r="G201" i="3"/>
  <c r="BA203" i="3"/>
  <c r="BL204" i="3"/>
  <c r="AZ204" i="3"/>
  <c r="AZ39" i="3"/>
  <c r="AZ43" i="3"/>
  <c r="AZ47" i="3"/>
  <c r="AZ51" i="3"/>
  <c r="AZ59" i="3"/>
  <c r="AZ63" i="3"/>
  <c r="AZ67" i="3"/>
  <c r="AZ83" i="3"/>
  <c r="AZ136" i="3"/>
  <c r="AZ144" i="3"/>
  <c r="AZ160" i="3"/>
  <c r="AZ168" i="3"/>
  <c r="AZ176" i="3"/>
  <c r="AZ192" i="3"/>
  <c r="AZ200" i="3"/>
  <c r="AZ85" i="3"/>
  <c r="AZ89" i="3"/>
  <c r="AZ97" i="3"/>
  <c r="AZ101" i="3"/>
  <c r="AZ128" i="3"/>
  <c r="G534" i="3"/>
  <c r="G530" i="3"/>
  <c r="G506"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AZ369" i="3" s="1"/>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2" i="3"/>
  <c r="AZ146" i="3"/>
  <c r="AZ150" i="3"/>
  <c r="AZ158" i="3"/>
  <c r="AZ162" i="3"/>
  <c r="AZ166" i="3"/>
  <c r="AZ174" i="3"/>
  <c r="AZ178" i="3"/>
  <c r="AZ182" i="3"/>
  <c r="AZ190" i="3"/>
  <c r="AZ194" i="3"/>
  <c r="BA16" i="3"/>
  <c r="BL303" i="3"/>
  <c r="AZ303" i="3" s="1"/>
  <c r="G304" i="3"/>
  <c r="BA306" i="3"/>
  <c r="AZ306" i="3" s="1"/>
  <c r="BL307" i="3"/>
  <c r="AZ307" i="3" s="1"/>
  <c r="G308" i="3"/>
  <c r="BA310" i="3"/>
  <c r="AZ310" i="3" s="1"/>
  <c r="BL311" i="3"/>
  <c r="AZ311" i="3" s="1"/>
  <c r="G312" i="3"/>
  <c r="BA314" i="3"/>
  <c r="BL315" i="3"/>
  <c r="AZ315" i="3" s="1"/>
  <c r="G316" i="3"/>
  <c r="BA318" i="3"/>
  <c r="BL319" i="3"/>
  <c r="G320" i="3"/>
  <c r="BA322" i="3"/>
  <c r="AZ322" i="3"/>
  <c r="BL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BL362" i="3"/>
  <c r="AZ362" i="3" s="1"/>
  <c r="G363" i="3"/>
  <c r="BA365" i="3"/>
  <c r="BL366" i="3"/>
  <c r="AZ366" i="3" s="1"/>
  <c r="G367" i="3"/>
  <c r="BA369" i="3"/>
  <c r="BL370" i="3"/>
  <c r="AZ370" i="3" s="1"/>
  <c r="G371" i="3"/>
  <c r="BA373" i="3"/>
  <c r="BL374" i="3"/>
  <c r="AZ374" i="3"/>
  <c r="G375" i="3"/>
  <c r="BA377" i="3"/>
  <c r="AZ233" i="3"/>
  <c r="AZ237" i="3"/>
  <c r="AZ249" i="3"/>
  <c r="AZ253" i="3"/>
  <c r="AZ257" i="3"/>
  <c r="AZ261" i="3"/>
  <c r="AZ265" i="3"/>
  <c r="AZ273" i="3"/>
  <c r="BA379" i="3"/>
  <c r="AZ379" i="3" s="1"/>
  <c r="BL380" i="3"/>
  <c r="G381" i="3"/>
  <c r="BA383" i="3"/>
  <c r="BL384" i="3"/>
  <c r="AZ384" i="3" s="1"/>
  <c r="G385" i="3"/>
  <c r="BA387" i="3"/>
  <c r="AZ387" i="3" s="1"/>
  <c r="BL388" i="3"/>
  <c r="G389" i="3"/>
  <c r="BA391" i="3"/>
  <c r="AZ391" i="3" s="1"/>
  <c r="BL392" i="3"/>
  <c r="G393" i="3"/>
  <c r="AZ263" i="3"/>
  <c r="AZ275" i="3"/>
  <c r="AZ287" i="3"/>
  <c r="AZ295" i="3"/>
  <c r="AZ299" i="3"/>
  <c r="BH5" i="3"/>
  <c r="AZ317" i="3"/>
  <c r="BQ5" i="3"/>
  <c r="G548" i="3"/>
  <c r="G538" i="3"/>
  <c r="BP5" i="3"/>
  <c r="BI5" i="3"/>
  <c r="G17" i="3"/>
  <c r="BA17" i="3"/>
  <c r="BT5" i="3"/>
  <c r="BA15" i="3"/>
  <c r="AZ15" i="3"/>
  <c r="AZ396" i="3"/>
  <c r="BL493" i="3"/>
  <c r="AZ491" i="3"/>
  <c r="AZ376" i="3"/>
  <c r="U36" i="40"/>
  <c r="F83" i="43"/>
  <c r="H85" i="43" s="1"/>
  <c r="F50" i="43"/>
  <c r="H54" i="43" s="1"/>
  <c r="G54" i="43" s="1"/>
  <c r="F72" i="43"/>
  <c r="H75" i="43" s="1"/>
  <c r="U17" i="39"/>
  <c r="S14" i="35"/>
  <c r="U43" i="21"/>
  <c r="U35" i="21"/>
  <c r="AC35" i="21"/>
  <c r="G10" i="1"/>
  <c r="AZ563" i="3"/>
  <c r="W37" i="37"/>
  <c r="W44" i="34"/>
  <c r="AC44" i="34"/>
  <c r="U13" i="37"/>
  <c r="AA12" i="40"/>
  <c r="J37" i="33"/>
  <c r="W37" i="33"/>
  <c r="AC17" i="34"/>
  <c r="F106" i="33"/>
  <c r="G106" i="33" s="1"/>
  <c r="H106" i="33" s="1"/>
  <c r="I106" i="33" s="1"/>
  <c r="J106" i="33" s="1"/>
  <c r="K106" i="33" s="1"/>
  <c r="L106" i="33" s="1"/>
  <c r="M106" i="33" s="1"/>
  <c r="J34" i="33"/>
  <c r="F33" i="34"/>
  <c r="S33" i="34" s="1"/>
  <c r="H20" i="36"/>
  <c r="J20" i="36"/>
  <c r="W20" i="36" s="1"/>
  <c r="J27" i="36"/>
  <c r="W27" i="36" s="1"/>
  <c r="AC33" i="40"/>
  <c r="F111" i="40"/>
  <c r="G111" i="40" s="1"/>
  <c r="H111" i="40"/>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c r="J27" i="40"/>
  <c r="AC27" i="40"/>
  <c r="F27" i="40"/>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4" i="3"/>
  <c r="AZ386" i="3"/>
  <c r="C40" i="11"/>
  <c r="AZ223" i="3"/>
  <c r="AZ232" i="3"/>
  <c r="AZ235" i="3"/>
  <c r="AZ248" i="3"/>
  <c r="AZ251" i="3"/>
  <c r="AZ256" i="3"/>
  <c r="AZ259" i="3"/>
  <c r="AZ296" i="3"/>
  <c r="AZ117" i="3"/>
  <c r="AZ133" i="3"/>
  <c r="AZ21" i="3"/>
  <c r="AZ45" i="3"/>
  <c r="AZ61" i="3"/>
  <c r="AZ72" i="3"/>
  <c r="AZ94" i="3"/>
  <c r="AZ102" i="3"/>
  <c r="F23" i="39"/>
  <c r="AA23" i="39" s="1"/>
  <c r="H27" i="36"/>
  <c r="U27" i="36" s="1"/>
  <c r="F27" i="36"/>
  <c r="AA27" i="36" s="1"/>
  <c r="H33" i="34"/>
  <c r="U33" i="34" s="1"/>
  <c r="F32" i="37"/>
  <c r="AA32" i="37" s="1"/>
  <c r="F20" i="36"/>
  <c r="AA20" i="36" s="1"/>
  <c r="J33" i="34"/>
  <c r="H23" i="39"/>
  <c r="U23" i="39" s="1"/>
  <c r="D48" i="9"/>
  <c r="M52" i="9" s="1"/>
  <c r="K9" i="1"/>
  <c r="M9" i="1" s="1"/>
  <c r="D93" i="9"/>
  <c r="K6" i="1"/>
  <c r="AP6" i="1" s="1"/>
  <c r="AC26" i="33"/>
  <c r="W26" i="33"/>
  <c r="AB34" i="36"/>
  <c r="U34" i="36"/>
  <c r="AB33" i="36"/>
  <c r="U33" i="36"/>
  <c r="AC12" i="39"/>
  <c r="W12" i="39"/>
  <c r="AZ401" i="3"/>
  <c r="AZ412" i="3"/>
  <c r="AZ417" i="3"/>
  <c r="AZ428" i="3"/>
  <c r="AZ433" i="3"/>
  <c r="W12" i="33"/>
  <c r="AC12" i="33"/>
  <c r="AA32" i="36"/>
  <c r="S32" i="36"/>
  <c r="AZ441" i="3"/>
  <c r="AZ490" i="3"/>
  <c r="BL14" i="3"/>
  <c r="AZ266" i="3"/>
  <c r="AC13" i="34"/>
  <c r="AA47" i="34"/>
  <c r="S19" i="39"/>
  <c r="F12" i="33"/>
  <c r="AA12" i="33" s="1"/>
  <c r="H12" i="39"/>
  <c r="AB12" i="39"/>
  <c r="F39" i="40"/>
  <c r="BA14" i="3"/>
  <c r="AZ14" i="3" s="1"/>
  <c r="AZ367" i="3"/>
  <c r="AZ234" i="3"/>
  <c r="AZ250" i="3"/>
  <c r="AZ254" i="3"/>
  <c r="AZ297" i="3"/>
  <c r="AZ157" i="3"/>
  <c r="AZ173" i="3"/>
  <c r="AZ189" i="3"/>
  <c r="AZ26" i="3"/>
  <c r="AZ41" i="3"/>
  <c r="B12" i="1"/>
  <c r="E12" i="1" s="1"/>
  <c r="B10" i="1"/>
  <c r="E10" i="1" s="1"/>
  <c r="AZ88" i="3"/>
  <c r="K12" i="1"/>
  <c r="M12" i="1" s="1"/>
  <c r="S13" i="1"/>
  <c r="AR13" i="1" s="1"/>
  <c r="R13" i="1"/>
  <c r="J51" i="67"/>
  <c r="C42" i="1"/>
  <c r="AA34" i="33"/>
  <c r="B41" i="1"/>
  <c r="AB37" i="40"/>
  <c r="S35" i="40"/>
  <c r="U35" i="40"/>
  <c r="S17"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S17" i="39"/>
  <c r="AA12" i="39"/>
  <c r="S9" i="39"/>
  <c r="U14" i="39"/>
  <c r="AC13" i="39"/>
  <c r="U12" i="39"/>
  <c r="S23" i="36"/>
  <c r="U13" i="36"/>
  <c r="U26" i="36"/>
  <c r="S33" i="36"/>
  <c r="AA26" i="36"/>
  <c r="AA34" i="36"/>
  <c r="AC26" i="36"/>
  <c r="AA22" i="36"/>
  <c r="U22" i="36"/>
  <c r="S16" i="36"/>
  <c r="AA25" i="36"/>
  <c r="U23" i="36"/>
  <c r="S14" i="36"/>
  <c r="AA25" i="35"/>
  <c r="W24" i="35"/>
  <c r="AB13" i="35"/>
  <c r="U29" i="35"/>
  <c r="U28" i="35"/>
  <c r="AB27" i="35"/>
  <c r="U36" i="35"/>
  <c r="U32" i="35"/>
  <c r="AC30" i="35"/>
  <c r="S32" i="35"/>
  <c r="AA36" i="35"/>
  <c r="S28" i="35"/>
  <c r="AB16" i="35"/>
  <c r="U22" i="35"/>
  <c r="S20" i="35"/>
  <c r="AC20" i="35"/>
  <c r="S22" i="35"/>
  <c r="AA11" i="35"/>
  <c r="AC9" i="35"/>
  <c r="W9" i="35"/>
  <c r="AC12" i="35"/>
  <c r="W13" i="35"/>
  <c r="F9" i="35"/>
  <c r="S9" i="35" s="1"/>
  <c r="H9" i="35"/>
  <c r="U9" i="35" s="1"/>
  <c r="AB40" i="37"/>
  <c r="W27" i="37"/>
  <c r="AC29" i="37"/>
  <c r="U29" i="37"/>
  <c r="S32" i="37"/>
  <c r="AB31" i="37"/>
  <c r="U32" i="37"/>
  <c r="AC35" i="37"/>
  <c r="W39" i="37"/>
  <c r="AC15" i="37"/>
  <c r="J17" i="37"/>
  <c r="W17" i="37"/>
  <c r="G73" i="37"/>
  <c r="F17" i="37"/>
  <c r="AB17" i="37"/>
  <c r="F75" i="37"/>
  <c r="F19" i="37"/>
  <c r="AA19" i="37" s="1"/>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H27" i="33"/>
  <c r="AB27" i="33" s="1"/>
  <c r="F87" i="33"/>
  <c r="H25" i="33"/>
  <c r="AB25" i="33" s="1"/>
  <c r="F25" i="33"/>
  <c r="J23" i="33"/>
  <c r="W23" i="33" s="1"/>
  <c r="F85" i="33"/>
  <c r="H23" i="33"/>
  <c r="U23" i="33" s="1"/>
  <c r="F81" i="33"/>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s="1"/>
  <c r="F77" i="21"/>
  <c r="G77" i="21" s="1"/>
  <c r="F23" i="21"/>
  <c r="S23" i="21" s="1"/>
  <c r="E85" i="21"/>
  <c r="AA14" i="21"/>
  <c r="C18" i="9"/>
  <c r="D18" i="9" s="1"/>
  <c r="M20" i="67"/>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E9" i="1" s="1"/>
  <c r="K7" i="1"/>
  <c r="M7" i="1" s="1"/>
  <c r="G1" i="15"/>
  <c r="G1" i="69"/>
  <c r="G1" i="67"/>
  <c r="W23" i="40"/>
  <c r="AB31" i="40"/>
  <c r="S37" i="40"/>
  <c r="AB28" i="40"/>
  <c r="W28" i="40"/>
  <c r="W34" i="40"/>
  <c r="W19" i="40"/>
  <c r="W27" i="40"/>
  <c r="W37" i="40"/>
  <c r="S13" i="40"/>
  <c r="AA15" i="40"/>
  <c r="U15" i="40"/>
  <c r="AB17" i="40"/>
  <c r="U8" i="40"/>
  <c r="S8" i="40"/>
  <c r="AA39" i="39"/>
  <c r="AC41" i="39"/>
  <c r="U42" i="39"/>
  <c r="U41" i="39"/>
  <c r="W25" i="39"/>
  <c r="AA13" i="39"/>
  <c r="S14" i="39"/>
  <c r="AA14" i="39"/>
  <c r="U43" i="39"/>
  <c r="AB43" i="39"/>
  <c r="AB11" i="39"/>
  <c r="U11" i="39"/>
  <c r="AA27" i="39"/>
  <c r="S27" i="39"/>
  <c r="W17" i="39"/>
  <c r="AC17" i="39"/>
  <c r="S23" i="39"/>
  <c r="AA45" i="39"/>
  <c r="AB39" i="39"/>
  <c r="W34" i="39"/>
  <c r="U38" i="39"/>
  <c r="S8" i="39"/>
  <c r="S20" i="36"/>
  <c r="AC25" i="36"/>
  <c r="U32" i="36"/>
  <c r="W29" i="36"/>
  <c r="AC20" i="36"/>
  <c r="U25" i="36"/>
  <c r="AB28" i="36"/>
  <c r="W9" i="36"/>
  <c r="W22" i="36"/>
  <c r="W23" i="36"/>
  <c r="S9" i="36"/>
  <c r="AB20" i="35"/>
  <c r="AC25" i="35"/>
  <c r="U25" i="35"/>
  <c r="U24" i="35"/>
  <c r="S35" i="35"/>
  <c r="W35" i="35"/>
  <c r="AA16" i="35"/>
  <c r="AA35" i="37"/>
  <c r="S27" i="37"/>
  <c r="W32" i="37"/>
  <c r="S40" i="37"/>
  <c r="AB37" i="37"/>
  <c r="AC34" i="37"/>
  <c r="AB35" i="37"/>
  <c r="AA31" i="37"/>
  <c r="U19" i="37"/>
  <c r="AA29" i="37"/>
  <c r="U8" i="37"/>
  <c r="U19" i="34"/>
  <c r="W19" i="34"/>
  <c r="AB33" i="34"/>
  <c r="AC45" i="34"/>
  <c r="AA31" i="34"/>
  <c r="AA30" i="34"/>
  <c r="AB45" i="34"/>
  <c r="AB47" i="34"/>
  <c r="U25" i="34"/>
  <c r="AB36" i="34"/>
  <c r="AC14" i="34"/>
  <c r="AC32" i="34"/>
  <c r="AC29" i="34"/>
  <c r="W46" i="34"/>
  <c r="S32" i="34"/>
  <c r="U30" i="34"/>
  <c r="S37" i="34"/>
  <c r="U38" i="34"/>
  <c r="AC40" i="34"/>
  <c r="W40" i="34"/>
  <c r="AA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AB34" i="33"/>
  <c r="AA30" i="33"/>
  <c r="AC14" i="33"/>
  <c r="W14" i="33"/>
  <c r="AC30" i="33"/>
  <c r="W30" i="33"/>
  <c r="AA31" i="33"/>
  <c r="W13" i="33"/>
  <c r="AC13" i="33"/>
  <c r="U15" i="33"/>
  <c r="S11" i="33"/>
  <c r="U37" i="33"/>
  <c r="AC28" i="33"/>
  <c r="W8" i="33"/>
  <c r="S44" i="21"/>
  <c r="S45" i="21"/>
  <c r="I101" i="21"/>
  <c r="J101" i="21" s="1"/>
  <c r="K101" i="2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W39" i="21"/>
  <c r="AC14" i="21"/>
  <c r="W30" i="21"/>
  <c r="S46" i="21"/>
  <c r="H45" i="21"/>
  <c r="F29" i="21"/>
  <c r="S29" i="21" s="1"/>
  <c r="F13" i="21"/>
  <c r="AC38" i="21"/>
  <c r="H32" i="21"/>
  <c r="H9" i="21"/>
  <c r="U9" i="21" s="1"/>
  <c r="J9" i="21"/>
  <c r="J32" i="21"/>
  <c r="W32" i="21" s="1"/>
  <c r="F32" i="21"/>
  <c r="U17" i="21"/>
  <c r="W29" i="21"/>
  <c r="S19" i="21"/>
  <c r="S9" i="21"/>
  <c r="K141" i="21"/>
  <c r="K144" i="21"/>
  <c r="K143" i="21"/>
  <c r="U27" i="21"/>
  <c r="AB25" i="21"/>
  <c r="AB44" i="21"/>
  <c r="AA30" i="21"/>
  <c r="W13" i="21"/>
  <c r="W42" i="21"/>
  <c r="AC45" i="21"/>
  <c r="F10" i="21"/>
  <c r="AA10" i="21" s="1"/>
  <c r="K145" i="21"/>
  <c r="W25" i="21"/>
  <c r="AA29" i="21"/>
  <c r="S27" i="21"/>
  <c r="S17" i="21"/>
  <c r="AA15" i="21"/>
  <c r="AC26" i="21"/>
  <c r="AB29" i="21"/>
  <c r="AC34" i="21"/>
  <c r="W12" i="21"/>
  <c r="W30" i="40"/>
  <c r="C19" i="39"/>
  <c r="C15" i="40"/>
  <c r="C17" i="40"/>
  <c r="C23" i="40"/>
  <c r="C21" i="40"/>
  <c r="B56" i="43"/>
  <c r="B67" i="43"/>
  <c r="B51" i="43"/>
  <c r="B54" i="43"/>
  <c r="B58" i="43"/>
  <c r="B62" i="43"/>
  <c r="B65" i="43"/>
  <c r="B69" i="43"/>
  <c r="D23" i="15"/>
  <c r="D22" i="15"/>
  <c r="E4" i="4"/>
  <c r="B5" i="62" s="1"/>
  <c r="B73" i="72" s="1"/>
  <c r="C4" i="4"/>
  <c r="F30" i="68"/>
  <c r="F48" i="68" s="1"/>
  <c r="AA39" i="40"/>
  <c r="S39" i="40"/>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AA23" i="33" s="1"/>
  <c r="G85" i="33"/>
  <c r="AC23" i="33"/>
  <c r="AA19" i="33"/>
  <c r="H19" i="33"/>
  <c r="G81" i="33"/>
  <c r="H17" i="33"/>
  <c r="U17" i="33" s="1"/>
  <c r="F17" i="33"/>
  <c r="AA17" i="33" s="1"/>
  <c r="W17" i="33"/>
  <c r="AC17" i="33"/>
  <c r="S37" i="21"/>
  <c r="AA23" i="21"/>
  <c r="AB15" i="21"/>
  <c r="J23" i="21"/>
  <c r="AC23" i="21" s="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I70" i="34"/>
  <c r="J70" i="34" s="1"/>
  <c r="K70" i="34" s="1"/>
  <c r="L70" i="34" s="1"/>
  <c r="M70" i="34" s="1"/>
  <c r="J11" i="34"/>
  <c r="W11" i="34" s="1"/>
  <c r="AB36" i="33"/>
  <c r="W27" i="33"/>
  <c r="AC27" i="33"/>
  <c r="W25" i="33"/>
  <c r="AC25" i="33"/>
  <c r="AB19" i="33"/>
  <c r="U19" i="33"/>
  <c r="AB17" i="33"/>
  <c r="AB23" i="21"/>
  <c r="W23" i="21"/>
  <c r="H109" i="9"/>
  <c r="D16" i="53"/>
  <c r="B34" i="72" s="1"/>
  <c r="H112" i="9"/>
  <c r="D21" i="53"/>
  <c r="B39" i="72" s="1"/>
  <c r="H111" i="9"/>
  <c r="D126" i="9" s="1"/>
  <c r="D19" i="53"/>
  <c r="B38" i="72" s="1"/>
  <c r="AD3" i="71"/>
  <c r="J1" i="7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3" i="15"/>
  <c r="M8" i="15"/>
  <c r="E2" i="69"/>
  <c r="M22" i="67"/>
  <c r="J15" i="15"/>
  <c r="F4" i="73"/>
  <c r="F43" i="67"/>
  <c r="F26" i="67"/>
  <c r="M23" i="15"/>
  <c r="B9" i="76"/>
  <c r="F20" i="31"/>
  <c r="F6" i="73"/>
  <c r="M24" i="15"/>
  <c r="F42" i="15"/>
  <c r="F42" i="67"/>
  <c r="F37" i="67"/>
  <c r="E2" i="68"/>
  <c r="AO13" i="1"/>
  <c r="C76" i="67"/>
  <c r="M6" i="15"/>
  <c r="F40" i="15"/>
  <c r="F5" i="73"/>
  <c r="M26" i="15"/>
  <c r="F36" i="15"/>
  <c r="F7" i="67"/>
  <c r="E8" i="76"/>
  <c r="F6" i="15"/>
  <c r="L47" i="67"/>
  <c r="B11" i="76"/>
  <c r="M6" i="67"/>
  <c r="M9" i="67"/>
  <c r="B13" i="76"/>
  <c r="M9" i="15"/>
  <c r="F7" i="73"/>
  <c r="F37" i="15"/>
  <c r="M22" i="15"/>
  <c r="M26" i="67"/>
  <c r="F6" i="67"/>
  <c r="F9" i="15"/>
  <c r="M29" i="15"/>
  <c r="M24" i="67"/>
  <c r="F13" i="15"/>
  <c r="B10" i="76"/>
  <c r="D6" i="73"/>
  <c r="L47" i="15"/>
  <c r="F8" i="15"/>
  <c r="E11" i="76"/>
  <c r="B12" i="76"/>
  <c r="F9" i="67"/>
  <c r="F38" i="67"/>
  <c r="F8" i="67"/>
  <c r="F38" i="15"/>
  <c r="M8" i="67"/>
  <c r="F13" i="67"/>
  <c r="E10" i="76"/>
  <c r="E13" i="76"/>
  <c r="B7" i="76"/>
  <c r="C76" i="15"/>
  <c r="M29" i="67"/>
  <c r="F16" i="15"/>
  <c r="F7" i="15"/>
  <c r="L48" i="67"/>
  <c r="M28" i="67"/>
  <c r="B8" i="76"/>
  <c r="F3" i="73"/>
  <c r="F26" i="15"/>
  <c r="E7" i="76"/>
  <c r="E12" i="76"/>
  <c r="F36" i="67"/>
  <c r="M28" i="15"/>
  <c r="E9" i="76"/>
  <c r="M23" i="67"/>
  <c r="F16" i="67"/>
  <c r="J15" i="67"/>
  <c r="F40" i="67"/>
  <c r="F6" i="1" l="1"/>
  <c r="F9" i="1"/>
  <c r="G9" i="1" s="1"/>
  <c r="J51" i="15"/>
  <c r="W17" i="21"/>
  <c r="AC15" i="21"/>
  <c r="F48" i="9"/>
  <c r="O52" i="9" s="1"/>
  <c r="F52" i="89"/>
  <c r="F48" i="89"/>
  <c r="O52" i="89" s="1"/>
  <c r="D68" i="88"/>
  <c r="F54" i="88"/>
  <c r="F53" i="88"/>
  <c r="F52" i="87"/>
  <c r="F48" i="87"/>
  <c r="O52" i="87" s="1"/>
  <c r="F32" i="85"/>
  <c r="F60" i="85" s="1"/>
  <c r="F28" i="85"/>
  <c r="C28" i="85" s="1"/>
  <c r="F32" i="84"/>
  <c r="F60" i="84" s="1"/>
  <c r="F28" i="84"/>
  <c r="C28" i="84" s="1"/>
  <c r="M18" i="84"/>
  <c r="F30" i="82"/>
  <c r="D68" i="89"/>
  <c r="F54" i="89"/>
  <c r="F53" i="89"/>
  <c r="F52" i="88"/>
  <c r="F48" i="88"/>
  <c r="O52" i="88" s="1"/>
  <c r="D68" i="87"/>
  <c r="F54" i="87"/>
  <c r="F53" i="87"/>
  <c r="F32" i="86"/>
  <c r="F60" i="86" s="1"/>
  <c r="F28" i="86"/>
  <c r="C28" i="86" s="1"/>
  <c r="M18" i="86"/>
  <c r="M18" i="85"/>
  <c r="F30" i="83"/>
  <c r="F30" i="81"/>
  <c r="C24" i="12"/>
  <c r="C77" i="88"/>
  <c r="C74" i="88" s="1"/>
  <c r="C77" i="87"/>
  <c r="C74" i="87" s="1"/>
  <c r="C77" i="89"/>
  <c r="C74" i="89" s="1"/>
  <c r="M54" i="43"/>
  <c r="N54" i="43" s="1"/>
  <c r="K54" i="43"/>
  <c r="J54" i="43" s="1"/>
  <c r="AZ318" i="3"/>
  <c r="AZ373" i="3"/>
  <c r="AZ533" i="3"/>
  <c r="AZ541" i="3"/>
  <c r="AZ549" i="3"/>
  <c r="AZ555" i="3"/>
  <c r="AC31" i="40"/>
  <c r="W31" i="40"/>
  <c r="S17" i="33"/>
  <c r="C21" i="71"/>
  <c r="D21" i="71" s="1"/>
  <c r="M50" i="43"/>
  <c r="N50" i="43" s="1"/>
  <c r="K50" i="43"/>
  <c r="AZ361" i="3"/>
  <c r="AZ390" i="3"/>
  <c r="AZ356" i="3"/>
  <c r="AZ344" i="3"/>
  <c r="AZ313" i="3"/>
  <c r="AZ380" i="3"/>
  <c r="AZ341" i="3"/>
  <c r="AZ325" i="3"/>
  <c r="AZ309" i="3"/>
  <c r="AZ581" i="3"/>
  <c r="AZ583" i="3"/>
  <c r="AZ532" i="3"/>
  <c r="AZ536" i="3"/>
  <c r="AZ544" i="3"/>
  <c r="AZ558" i="3"/>
  <c r="AZ584" i="3"/>
  <c r="W31" i="34"/>
  <c r="U46" i="33"/>
  <c r="AA13" i="35"/>
  <c r="BL587" i="3"/>
  <c r="BA587" i="3"/>
  <c r="AZ587" i="3" s="1"/>
  <c r="G570" i="3"/>
  <c r="G556" i="3"/>
  <c r="BA550" i="3"/>
  <c r="G526" i="3"/>
  <c r="G525" i="3"/>
  <c r="G524" i="3"/>
  <c r="BL523" i="3"/>
  <c r="G523" i="3"/>
  <c r="G522" i="3"/>
  <c r="BL520" i="3"/>
  <c r="BA520" i="3"/>
  <c r="G520" i="3"/>
  <c r="BA519" i="3"/>
  <c r="AZ519" i="3" s="1"/>
  <c r="G518" i="3"/>
  <c r="G517" i="3"/>
  <c r="G516" i="3"/>
  <c r="G515" i="3"/>
  <c r="BL514" i="3"/>
  <c r="G513" i="3"/>
  <c r="G512" i="3"/>
  <c r="BA511" i="3"/>
  <c r="AZ511" i="3" s="1"/>
  <c r="BA510" i="3"/>
  <c r="G510" i="3"/>
  <c r="BA509" i="3"/>
  <c r="G509" i="3"/>
  <c r="G508" i="3"/>
  <c r="G507" i="3"/>
  <c r="BL506" i="3"/>
  <c r="G505" i="3"/>
  <c r="BA504" i="3"/>
  <c r="AZ504" i="3" s="1"/>
  <c r="G504" i="3"/>
  <c r="G502" i="3"/>
  <c r="BA501" i="3"/>
  <c r="G501" i="3"/>
  <c r="G499" i="3"/>
  <c r="BA498" i="3"/>
  <c r="AZ498" i="3" s="1"/>
  <c r="G498" i="3"/>
  <c r="G497" i="3"/>
  <c r="BL496" i="3"/>
  <c r="AZ496" i="3" s="1"/>
  <c r="G496" i="3"/>
  <c r="BE5" i="3"/>
  <c r="BR5" i="3"/>
  <c r="BM5" i="3"/>
  <c r="BD5" i="3"/>
  <c r="E19" i="83"/>
  <c r="E19" i="81"/>
  <c r="E19" i="82"/>
  <c r="M18" i="88"/>
  <c r="B118" i="88" s="1"/>
  <c r="B16" i="74" s="1"/>
  <c r="M18" i="87"/>
  <c r="B118" i="87" s="1"/>
  <c r="B15" i="74" s="1"/>
  <c r="D78" i="9"/>
  <c r="D93" i="89"/>
  <c r="D78" i="88"/>
  <c r="D93" i="87"/>
  <c r="D78" i="89"/>
  <c r="D93" i="88"/>
  <c r="D78" i="87"/>
  <c r="A15" i="62"/>
  <c r="B61" i="72" s="1"/>
  <c r="AZ402" i="3"/>
  <c r="AZ406" i="3"/>
  <c r="AZ419" i="3"/>
  <c r="AZ435" i="3"/>
  <c r="AZ442" i="3"/>
  <c r="AZ446" i="3"/>
  <c r="AZ481" i="3"/>
  <c r="AZ487" i="3"/>
  <c r="M20" i="15"/>
  <c r="M20" i="86"/>
  <c r="F34" i="85"/>
  <c r="F62" i="85" s="1"/>
  <c r="M20" i="85"/>
  <c r="F34" i="84"/>
  <c r="F62" i="84" s="1"/>
  <c r="F34" i="86"/>
  <c r="F62" i="86" s="1"/>
  <c r="M20" i="84"/>
  <c r="M18" i="89"/>
  <c r="B118" i="89" s="1"/>
  <c r="B17" i="74" s="1"/>
  <c r="BL16" i="3"/>
  <c r="AZ16" i="3" s="1"/>
  <c r="F34" i="68"/>
  <c r="F34" i="83"/>
  <c r="F34" i="81"/>
  <c r="F34" i="82"/>
  <c r="G41" i="69"/>
  <c r="G41" i="82"/>
  <c r="G22" i="82"/>
  <c r="G41" i="83"/>
  <c r="G22" i="83"/>
  <c r="G41" i="81"/>
  <c r="G22" i="81"/>
  <c r="G6" i="1"/>
  <c r="I24" i="43"/>
  <c r="F11" i="1"/>
  <c r="G11" i="1" s="1"/>
  <c r="G44" i="4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AZ27" i="3"/>
  <c r="C36" i="71"/>
  <c r="D35" i="71"/>
  <c r="G256" i="3"/>
  <c r="G257" i="3"/>
  <c r="G258" i="3"/>
  <c r="BL258" i="3"/>
  <c r="AZ258" i="3" s="1"/>
  <c r="G261" i="3"/>
  <c r="G262" i="3"/>
  <c r="BL262" i="3"/>
  <c r="G265" i="3"/>
  <c r="G266" i="3"/>
  <c r="G267" i="3"/>
  <c r="BL267" i="3"/>
  <c r="BA268" i="3"/>
  <c r="AZ268" i="3" s="1"/>
  <c r="BA269" i="3"/>
  <c r="AZ269" i="3" s="1"/>
  <c r="BL271" i="3"/>
  <c r="AZ271" i="3" s="1"/>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6" i="3"/>
  <c r="BA197" i="3"/>
  <c r="AZ197" i="3" s="1"/>
  <c r="BA198" i="3"/>
  <c r="AZ198" i="3" s="1"/>
  <c r="BL199" i="3"/>
  <c r="AZ199" i="3" s="1"/>
  <c r="BA201" i="3"/>
  <c r="AZ201" i="3" s="1"/>
  <c r="BA202" i="3"/>
  <c r="AZ202" i="3" s="1"/>
  <c r="BL203" i="3"/>
  <c r="AZ203" i="3" s="1"/>
  <c r="BL206" i="3"/>
  <c r="AZ206" i="3" s="1"/>
  <c r="BA207" i="3"/>
  <c r="AZ207" i="3" s="1"/>
  <c r="BL19" i="3"/>
  <c r="AZ19" i="3" s="1"/>
  <c r="D62" i="71"/>
  <c r="C63" i="71"/>
  <c r="E23" i="71"/>
  <c r="E22" i="71" s="1"/>
  <c r="E21" i="71" s="1"/>
  <c r="E20" i="71" s="1"/>
  <c r="V24" i="71"/>
  <c r="G23" i="3"/>
  <c r="BL23" i="3"/>
  <c r="AZ23" i="3" s="1"/>
  <c r="G26" i="3"/>
  <c r="G27" i="3"/>
  <c r="BL27" i="3"/>
  <c r="BL29" i="3"/>
  <c r="AZ29" i="3" s="1"/>
  <c r="BA30" i="3"/>
  <c r="AZ30" i="3" s="1"/>
  <c r="BA31" i="3"/>
  <c r="AZ31" i="3" s="1"/>
  <c r="BA32" i="3"/>
  <c r="AZ32" i="3" s="1"/>
  <c r="BA33" i="3"/>
  <c r="AZ33" i="3" s="1"/>
  <c r="BL35" i="3"/>
  <c r="AZ35" i="3" s="1"/>
  <c r="BL37" i="3"/>
  <c r="AZ37" i="3" s="1"/>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BA91" i="3"/>
  <c r="AZ91" i="3" s="1"/>
  <c r="BL93" i="3"/>
  <c r="AZ93" i="3" s="1"/>
  <c r="G96" i="3"/>
  <c r="BL96" i="3"/>
  <c r="BA98" i="3"/>
  <c r="AZ98" i="3" s="1"/>
  <c r="G101" i="3"/>
  <c r="G102" i="3"/>
  <c r="G103" i="3"/>
  <c r="BL103" i="3"/>
  <c r="BA104" i="3"/>
  <c r="AZ104" i="3" s="1"/>
  <c r="BA105" i="3"/>
  <c r="AZ105" i="3" s="1"/>
  <c r="BL107" i="3"/>
  <c r="AZ107" i="3" s="1"/>
  <c r="BA108" i="3"/>
  <c r="AZ108" i="3" s="1"/>
  <c r="BA109" i="3"/>
  <c r="AZ109" i="3" s="1"/>
  <c r="BA110" i="3"/>
  <c r="AZ110" i="3" s="1"/>
  <c r="BA111" i="3"/>
  <c r="AZ111" i="3" s="1"/>
  <c r="M47" i="88"/>
  <c r="M47" i="89"/>
  <c r="M47" i="87"/>
  <c r="J51" i="85"/>
  <c r="J51" i="86"/>
  <c r="J51" i="84"/>
  <c r="C51" i="10"/>
  <c r="A13" i="51" s="1"/>
  <c r="B11" i="72" s="1"/>
  <c r="A118" i="89"/>
  <c r="A2" i="89"/>
  <c r="A118" i="87"/>
  <c r="A2" i="87"/>
  <c r="A118" i="88"/>
  <c r="A2" i="88"/>
  <c r="W21" i="21"/>
  <c r="AZ62" i="3"/>
  <c r="AZ96" i="3"/>
  <c r="AZ103" i="3"/>
  <c r="G1" i="86"/>
  <c r="G1" i="85"/>
  <c r="G1" i="83"/>
  <c r="G1" i="81"/>
  <c r="G1" i="84"/>
  <c r="G1" i="82"/>
  <c r="F8" i="1"/>
  <c r="G8" i="1" s="1"/>
  <c r="AB21" i="33"/>
  <c r="S21" i="34"/>
  <c r="P66" i="71"/>
  <c r="F31" i="71"/>
  <c r="F32" i="71" s="1"/>
  <c r="V32" i="71" s="1"/>
  <c r="X29" i="71"/>
  <c r="AB31" i="71"/>
  <c r="F35" i="71"/>
  <c r="F36" i="71" s="1"/>
  <c r="V36" i="71" s="1"/>
  <c r="AB35" i="71"/>
  <c r="F39" i="71"/>
  <c r="F40" i="71" s="1"/>
  <c r="V40" i="71" s="1"/>
  <c r="B59" i="71"/>
  <c r="B60" i="71" s="1"/>
  <c r="S60" i="71" s="1"/>
  <c r="M56" i="9"/>
  <c r="N56" i="89"/>
  <c r="K56" i="89"/>
  <c r="M56" i="88"/>
  <c r="J56" i="88"/>
  <c r="J57" i="88" s="1"/>
  <c r="J59" i="88" s="1"/>
  <c r="J61" i="88" s="1"/>
  <c r="N56" i="87"/>
  <c r="K56" i="87"/>
  <c r="M56" i="89"/>
  <c r="J56" i="89"/>
  <c r="J57" i="89" s="1"/>
  <c r="J59" i="89" s="1"/>
  <c r="J61" i="89" s="1"/>
  <c r="N56" i="88"/>
  <c r="K56" i="88"/>
  <c r="M56" i="87"/>
  <c r="J56" i="87"/>
  <c r="J57" i="87" s="1"/>
  <c r="J59" i="87" s="1"/>
  <c r="J61" i="87" s="1"/>
  <c r="C40" i="68"/>
  <c r="O7" i="1"/>
  <c r="P7" i="1" s="1"/>
  <c r="F34" i="15"/>
  <c r="F62" i="15" s="1"/>
  <c r="F34" i="67"/>
  <c r="F62" i="67" s="1"/>
  <c r="F32" i="15"/>
  <c r="F60" i="15" s="1"/>
  <c r="F54" i="9"/>
  <c r="F52" i="9"/>
  <c r="F28" i="15"/>
  <c r="F32" i="67"/>
  <c r="F60" i="67" s="1"/>
  <c r="F28" i="67"/>
  <c r="C28" i="67" s="1"/>
  <c r="D68" i="9"/>
  <c r="M18" i="15"/>
  <c r="F30" i="69"/>
  <c r="F48" i="69" s="1"/>
  <c r="M18" i="67"/>
  <c r="F31" i="12"/>
  <c r="F30" i="11"/>
  <c r="C48" i="11" s="1"/>
  <c r="AZ520" i="3"/>
  <c r="E19" i="71"/>
  <c r="E18" i="71" s="1"/>
  <c r="E17" i="71" s="1"/>
  <c r="E16" i="71" s="1"/>
  <c r="V20" i="71"/>
  <c r="AA13" i="21"/>
  <c r="S13" i="21"/>
  <c r="AA17" i="37"/>
  <c r="S17" i="37"/>
  <c r="S35" i="33"/>
  <c r="AA35" i="33"/>
  <c r="D8" i="53"/>
  <c r="D120" i="9"/>
  <c r="AA15" i="39"/>
  <c r="S15" i="39"/>
  <c r="AZ577" i="3"/>
  <c r="AA28" i="33"/>
  <c r="S28" i="33"/>
  <c r="W19" i="21"/>
  <c r="AC19" i="21"/>
  <c r="U36" i="21"/>
  <c r="AB36" i="21"/>
  <c r="U39" i="21"/>
  <c r="AB39" i="21"/>
  <c r="AC30" i="37"/>
  <c r="W30" i="37"/>
  <c r="U27" i="37"/>
  <c r="AB27" i="37"/>
  <c r="F28" i="37"/>
  <c r="J28" i="37"/>
  <c r="H28" i="37"/>
  <c r="U41" i="21"/>
  <c r="AB41" i="21"/>
  <c r="BL525" i="3"/>
  <c r="AZ525" i="3" s="1"/>
  <c r="BA523" i="3"/>
  <c r="AZ523" i="3" s="1"/>
  <c r="BL521" i="3"/>
  <c r="BL518" i="3"/>
  <c r="BA518" i="3"/>
  <c r="BA516" i="3"/>
  <c r="AZ516" i="3" s="1"/>
  <c r="BA514" i="3"/>
  <c r="AZ514" i="3" s="1"/>
  <c r="BL512" i="3"/>
  <c r="BL510" i="3"/>
  <c r="AZ510" i="3" s="1"/>
  <c r="BA506" i="3"/>
  <c r="AZ506" i="3" s="1"/>
  <c r="BL502" i="3"/>
  <c r="AZ502" i="3" s="1"/>
  <c r="BL500" i="3"/>
  <c r="BA500" i="3"/>
  <c r="BL497" i="3"/>
  <c r="AZ497" i="3" s="1"/>
  <c r="AC5" i="3"/>
  <c r="BJ5" i="3"/>
  <c r="BB5" i="3"/>
  <c r="C20" i="71"/>
  <c r="S23" i="33"/>
  <c r="S12" i="33"/>
  <c r="U30" i="40"/>
  <c r="AB44" i="33"/>
  <c r="U38" i="33"/>
  <c r="AB40" i="34"/>
  <c r="U13" i="39"/>
  <c r="S31" i="40"/>
  <c r="AA36" i="33"/>
  <c r="S36" i="33"/>
  <c r="S30" i="37"/>
  <c r="S36" i="37"/>
  <c r="U16" i="36"/>
  <c r="AB14" i="36"/>
  <c r="AC33" i="34"/>
  <c r="W33" i="34"/>
  <c r="AB44" i="34"/>
  <c r="U44" i="34"/>
  <c r="S40" i="34"/>
  <c r="AA40" i="34"/>
  <c r="S39" i="34"/>
  <c r="AA39" i="34"/>
  <c r="U20" i="36"/>
  <c r="AB20" i="36"/>
  <c r="AZ377" i="3"/>
  <c r="AZ326" i="3"/>
  <c r="AZ347" i="3"/>
  <c r="G494" i="3"/>
  <c r="AZ327" i="3"/>
  <c r="H64" i="43"/>
  <c r="H67" i="43"/>
  <c r="H69" i="43"/>
  <c r="S11" i="39"/>
  <c r="W11" i="39"/>
  <c r="AC11" i="39"/>
  <c r="AB25" i="39"/>
  <c r="U25" i="39"/>
  <c r="AC13" i="40"/>
  <c r="W12" i="37"/>
  <c r="AC12" i="37"/>
  <c r="AB32" i="40"/>
  <c r="U32" i="40"/>
  <c r="AA37" i="37"/>
  <c r="S37" i="37"/>
  <c r="BA493" i="3"/>
  <c r="AZ493" i="3" s="1"/>
  <c r="AZ585" i="3"/>
  <c r="AC36" i="37"/>
  <c r="W36" i="37"/>
  <c r="U13" i="40"/>
  <c r="AB13" i="40"/>
  <c r="AC35" i="40"/>
  <c r="W35" i="40"/>
  <c r="AA33" i="40"/>
  <c r="S33" i="40"/>
  <c r="AB12" i="40"/>
  <c r="U12" i="40"/>
  <c r="AB30" i="33"/>
  <c r="U30" i="33"/>
  <c r="AB36" i="37"/>
  <c r="U36" i="37"/>
  <c r="W11" i="35"/>
  <c r="AC11" i="35"/>
  <c r="AC14" i="36"/>
  <c r="W14" i="36"/>
  <c r="AA23" i="40"/>
  <c r="S23" i="40"/>
  <c r="AA36" i="40"/>
  <c r="S36" i="40"/>
  <c r="AB14" i="35"/>
  <c r="U14" i="35"/>
  <c r="W21" i="40"/>
  <c r="AC21" i="40"/>
  <c r="AB19" i="39"/>
  <c r="U19" i="39"/>
  <c r="BL585" i="3"/>
  <c r="W27" i="21"/>
  <c r="AC27" i="21"/>
  <c r="H28" i="21"/>
  <c r="F28" i="21"/>
  <c r="J28" i="21"/>
  <c r="H31" i="21"/>
  <c r="J31" i="21"/>
  <c r="F31" i="21"/>
  <c r="S12" i="34"/>
  <c r="AA12" i="34"/>
  <c r="W12" i="34"/>
  <c r="AC12" i="34"/>
  <c r="AA35" i="34"/>
  <c r="S35" i="34"/>
  <c r="H14" i="40"/>
  <c r="J14" i="40"/>
  <c r="F14" i="40"/>
  <c r="F38" i="40"/>
  <c r="J38" i="40"/>
  <c r="H38" i="40"/>
  <c r="U45" i="21"/>
  <c r="AB45" i="21"/>
  <c r="W39" i="34"/>
  <c r="AC39" i="34"/>
  <c r="W34" i="33"/>
  <c r="AC34" i="33"/>
  <c r="G28" i="6"/>
  <c r="AB37" i="39"/>
  <c r="U37" i="39"/>
  <c r="AA15" i="37"/>
  <c r="S15" i="37"/>
  <c r="AC43" i="33"/>
  <c r="W43" i="33"/>
  <c r="W36" i="40"/>
  <c r="AC36" i="40"/>
  <c r="S32" i="40"/>
  <c r="AA32" i="40"/>
  <c r="AA24" i="35"/>
  <c r="S24" i="35"/>
  <c r="AZ521" i="3"/>
  <c r="AZ515" i="3"/>
  <c r="AZ565" i="3"/>
  <c r="AZ569" i="3"/>
  <c r="AZ573" i="3"/>
  <c r="AZ508" i="3"/>
  <c r="AZ512" i="3"/>
  <c r="U33" i="40"/>
  <c r="AB33" i="40"/>
  <c r="S13" i="37"/>
  <c r="AA13" i="37"/>
  <c r="S13" i="36"/>
  <c r="AA13" i="36"/>
  <c r="S33" i="35"/>
  <c r="AA33" i="35"/>
  <c r="U42" i="21"/>
  <c r="AB42" i="21"/>
  <c r="AB11" i="40"/>
  <c r="U11" i="40"/>
  <c r="AA26" i="33"/>
  <c r="S26" i="33"/>
  <c r="AA33" i="33"/>
  <c r="S33" i="33"/>
  <c r="AC33" i="33"/>
  <c r="W33" i="33"/>
  <c r="H9" i="33"/>
  <c r="J9" i="33"/>
  <c r="AC31" i="37"/>
  <c r="W31" i="37"/>
  <c r="AB14" i="37"/>
  <c r="U14" i="37"/>
  <c r="H38" i="37"/>
  <c r="J38" i="37"/>
  <c r="F38" i="37"/>
  <c r="BA524" i="3"/>
  <c r="AZ524" i="3" s="1"/>
  <c r="BL522" i="3"/>
  <c r="BA522" i="3"/>
  <c r="BL517" i="3"/>
  <c r="BA517" i="3"/>
  <c r="BL513" i="3"/>
  <c r="BA513" i="3"/>
  <c r="BL509" i="3"/>
  <c r="AZ509" i="3" s="1"/>
  <c r="BA507" i="3"/>
  <c r="AZ507" i="3" s="1"/>
  <c r="BL505" i="3"/>
  <c r="AZ505" i="3" s="1"/>
  <c r="BA503" i="3"/>
  <c r="AZ503" i="3" s="1"/>
  <c r="BL501" i="3"/>
  <c r="AZ501" i="3" s="1"/>
  <c r="BL499" i="3"/>
  <c r="BA499" i="3"/>
  <c r="AZ499" i="3" s="1"/>
  <c r="BS5" i="3"/>
  <c r="F28" i="6" s="1"/>
  <c r="BL495" i="3"/>
  <c r="BA495" i="3"/>
  <c r="AZ495" i="3" s="1"/>
  <c r="BL494" i="3"/>
  <c r="BN5" i="3"/>
  <c r="G29" i="6" s="1"/>
  <c r="BK5" i="3"/>
  <c r="BG5" i="3"/>
  <c r="BA494" i="3"/>
  <c r="AZ494" i="3" s="1"/>
  <c r="BC5" i="3"/>
  <c r="BO5" i="3"/>
  <c r="F29" i="6" s="1"/>
  <c r="E29" i="6" s="1"/>
  <c r="K15" i="1" s="1"/>
  <c r="BF5" i="3"/>
  <c r="G493" i="3"/>
  <c r="H5" i="3"/>
  <c r="G5" i="3"/>
  <c r="B3" i="3" s="1"/>
  <c r="E253" i="3" s="1"/>
  <c r="BL586" i="3"/>
  <c r="AZ586" i="3" s="1"/>
  <c r="AB35" i="33"/>
  <c r="U35" i="33"/>
  <c r="J27" i="34"/>
  <c r="F27" i="34"/>
  <c r="AB34" i="35"/>
  <c r="U34" i="35"/>
  <c r="H23" i="35"/>
  <c r="J23" i="35"/>
  <c r="F23" i="35"/>
  <c r="AB9" i="36"/>
  <c r="U9" i="36"/>
  <c r="J12" i="36"/>
  <c r="H12" i="36"/>
  <c r="J24" i="36"/>
  <c r="H24" i="36"/>
  <c r="F24" i="36"/>
  <c r="AB31" i="36"/>
  <c r="U31" i="36"/>
  <c r="H25" i="37"/>
  <c r="J25" i="37"/>
  <c r="F25" i="37"/>
  <c r="U8" i="39"/>
  <c r="AB8" i="39"/>
  <c r="H31" i="39"/>
  <c r="F31" i="39"/>
  <c r="J31" i="39"/>
  <c r="AC32" i="40"/>
  <c r="W32" i="40"/>
  <c r="AB31" i="35"/>
  <c r="U31" i="35"/>
  <c r="F36" i="39"/>
  <c r="H36" i="39"/>
  <c r="J36" i="39"/>
  <c r="BL550" i="3"/>
  <c r="AZ550" i="3" s="1"/>
  <c r="BL548" i="3"/>
  <c r="AZ548" i="3" s="1"/>
  <c r="J26" i="37"/>
  <c r="H26" i="37"/>
  <c r="F26" i="37"/>
  <c r="H44" i="39"/>
  <c r="F44" i="39"/>
  <c r="J39" i="40"/>
  <c r="H39" i="40"/>
  <c r="BA551" i="3"/>
  <c r="AZ551" i="3" s="1"/>
  <c r="AZ398" i="3"/>
  <c r="AZ405" i="3"/>
  <c r="AZ407" i="3"/>
  <c r="AZ410" i="3"/>
  <c r="AZ415" i="3"/>
  <c r="AZ420" i="3"/>
  <c r="AZ426" i="3"/>
  <c r="AZ431" i="3"/>
  <c r="AZ436" i="3"/>
  <c r="AZ445" i="3"/>
  <c r="AZ447" i="3"/>
  <c r="AZ464" i="3"/>
  <c r="AZ467" i="3"/>
  <c r="AZ474" i="3"/>
  <c r="AZ480" i="3"/>
  <c r="AZ482" i="3"/>
  <c r="AZ486" i="3"/>
  <c r="AZ488" i="3"/>
  <c r="AZ246" i="3"/>
  <c r="AZ262" i="3"/>
  <c r="AZ267" i="3"/>
  <c r="AZ395" i="3"/>
  <c r="AZ208" i="3"/>
  <c r="AZ211" i="3"/>
  <c r="AZ219" i="3"/>
  <c r="AZ236" i="3"/>
  <c r="AZ252" i="3"/>
  <c r="AZ274" i="3"/>
  <c r="AZ277" i="3"/>
  <c r="AZ298" i="3"/>
  <c r="AZ301" i="3"/>
  <c r="AZ122" i="3"/>
  <c r="AZ125" i="3"/>
  <c r="AZ34" i="3"/>
  <c r="AZ99" i="3"/>
  <c r="AZ106" i="3"/>
  <c r="AZ112" i="3"/>
  <c r="AZ40" i="3"/>
  <c r="AZ49" i="3"/>
  <c r="AZ54" i="3"/>
  <c r="AZ65" i="3"/>
  <c r="AZ70" i="3"/>
  <c r="AZ76" i="3"/>
  <c r="AZ90" i="3"/>
  <c r="D42" i="71"/>
  <c r="C43" i="71"/>
  <c r="C47" i="71"/>
  <c r="D47" i="71" s="1"/>
  <c r="D46" i="71"/>
  <c r="C21" i="68"/>
  <c r="C40" i="69"/>
  <c r="S21" i="37"/>
  <c r="X9" i="71"/>
  <c r="X10" i="71"/>
  <c r="AB9" i="71"/>
  <c r="AB10"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F67" i="71"/>
  <c r="X24" i="71"/>
  <c r="Y24" i="71"/>
  <c r="Z24" i="71" s="1"/>
  <c r="AB15" i="71"/>
  <c r="AB12" i="71"/>
  <c r="AB14" i="71"/>
  <c r="Y12" i="71"/>
  <c r="Z12" i="71" s="1"/>
  <c r="Y13" i="71"/>
  <c r="Z13" i="71" s="1"/>
  <c r="AA11" i="71"/>
  <c r="AA13" i="71"/>
  <c r="X12" i="71"/>
  <c r="Y23" i="71"/>
  <c r="Z23" i="71" s="1"/>
  <c r="Y22" i="71"/>
  <c r="Z22" i="71" s="1"/>
  <c r="AA23" i="71"/>
  <c r="X15" i="71"/>
  <c r="AA15" i="71"/>
  <c r="AB11" i="71"/>
  <c r="AB13" i="71"/>
  <c r="Y11" i="71"/>
  <c r="Z11" i="71" s="1"/>
  <c r="AA12" i="71"/>
  <c r="X11"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545" i="3"/>
  <c r="AK6" i="3"/>
  <c r="E228"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4" i="6"/>
  <c r="E63" i="39" s="1"/>
  <c r="I4" i="6"/>
  <c r="G3" i="43" s="1"/>
  <c r="F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9" i="68"/>
  <c r="D7" i="73"/>
  <c r="D5" i="73"/>
  <c r="C16" i="67"/>
  <c r="C16" i="15"/>
  <c r="L48" i="15"/>
  <c r="D4" i="73"/>
  <c r="C36" i="68"/>
  <c r="D3" i="73"/>
  <c r="J53" i="15" l="1"/>
  <c r="L56" i="15" s="1"/>
  <c r="I54" i="15"/>
  <c r="L58" i="15"/>
  <c r="Q60" i="15" s="1"/>
  <c r="J57" i="15"/>
  <c r="J55" i="15" s="1"/>
  <c r="J58" i="15" s="1"/>
  <c r="Q50" i="15" s="1"/>
  <c r="K53" i="43"/>
  <c r="M53" i="43"/>
  <c r="N53" i="43" s="1"/>
  <c r="K52" i="43"/>
  <c r="M52" i="43"/>
  <c r="N52" i="43" s="1"/>
  <c r="M51" i="43"/>
  <c r="N51" i="43" s="1"/>
  <c r="K51" i="43"/>
  <c r="AZ513" i="3"/>
  <c r="AZ517" i="3"/>
  <c r="AZ522" i="3"/>
  <c r="AZ500" i="3"/>
  <c r="AZ518" i="3"/>
  <c r="AZ458" i="3"/>
  <c r="AZ443" i="3"/>
  <c r="J50" i="43"/>
  <c r="D50" i="43"/>
  <c r="C48" i="83"/>
  <c r="F48" i="83"/>
  <c r="C30" i="83"/>
  <c r="K57" i="43"/>
  <c r="J57" i="43" s="1"/>
  <c r="D57" i="43" s="1"/>
  <c r="M57" i="43"/>
  <c r="N57" i="43" s="1"/>
  <c r="K55" i="43"/>
  <c r="M55" i="43"/>
  <c r="N55" i="43" s="1"/>
  <c r="K56" i="43"/>
  <c r="J56" i="43" s="1"/>
  <c r="D56" i="43" s="1"/>
  <c r="M56" i="43"/>
  <c r="N56" i="43" s="1"/>
  <c r="M58" i="43"/>
  <c r="N58" i="43" s="1"/>
  <c r="K58" i="43"/>
  <c r="D63" i="71"/>
  <c r="C64" i="71"/>
  <c r="T36" i="71"/>
  <c r="D36" i="71"/>
  <c r="C48" i="81"/>
  <c r="F48" i="81"/>
  <c r="C30" i="81"/>
  <c r="C48" i="82"/>
  <c r="F48" i="82"/>
  <c r="C30" i="82"/>
  <c r="F11" i="86"/>
  <c r="M11" i="86"/>
  <c r="J10" i="86" s="1"/>
  <c r="F11" i="85"/>
  <c r="M11" i="85"/>
  <c r="J10" i="85" s="1"/>
  <c r="F11" i="84"/>
  <c r="M11" i="84"/>
  <c r="J10" i="84" s="1"/>
  <c r="N94" i="46"/>
  <c r="E26" i="43"/>
  <c r="J26" i="4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62" i="3"/>
  <c r="E128" i="3"/>
  <c r="E434" i="3"/>
  <c r="E156" i="3"/>
  <c r="E157" i="3"/>
  <c r="E99" i="3"/>
  <c r="E306" i="3"/>
  <c r="E511" i="3"/>
  <c r="E352" i="3"/>
  <c r="E314" i="3"/>
  <c r="E181" i="3"/>
  <c r="E568" i="3"/>
  <c r="E77" i="3"/>
  <c r="E136" i="3"/>
  <c r="E85" i="3"/>
  <c r="E461" i="3"/>
  <c r="E453" i="3"/>
  <c r="E122" i="3"/>
  <c r="N370" i="46"/>
  <c r="G26" i="43"/>
  <c r="F30" i="6"/>
  <c r="F31" i="6" s="1"/>
  <c r="E28" i="6"/>
  <c r="K14" i="1" s="1"/>
  <c r="K16" i="1" s="1"/>
  <c r="B15" i="71"/>
  <c r="B14" i="71" s="1"/>
  <c r="B13" i="71" s="1"/>
  <c r="B12" i="71" s="1"/>
  <c r="S16" i="71"/>
  <c r="C44" i="71"/>
  <c r="D43" i="71"/>
  <c r="W39" i="40"/>
  <c r="AC39" i="40"/>
  <c r="AB44" i="39"/>
  <c r="U44" i="39"/>
  <c r="AB26" i="37"/>
  <c r="U26" i="37"/>
  <c r="AC36" i="39"/>
  <c r="W36" i="39"/>
  <c r="AA36" i="39"/>
  <c r="S36" i="39"/>
  <c r="S31" i="39"/>
  <c r="AA31" i="39"/>
  <c r="AA25" i="37"/>
  <c r="S25" i="37"/>
  <c r="U25" i="37"/>
  <c r="AB25" i="37"/>
  <c r="AB24" i="36"/>
  <c r="U24" i="36"/>
  <c r="U12" i="36"/>
  <c r="AB12" i="36"/>
  <c r="AA23" i="35"/>
  <c r="S23" i="35"/>
  <c r="U23" i="35"/>
  <c r="AB23" i="35"/>
  <c r="AC27" i="34"/>
  <c r="W27" i="34"/>
  <c r="E510" i="3"/>
  <c r="E329" i="3"/>
  <c r="E205" i="3"/>
  <c r="E16" i="3"/>
  <c r="E296" i="3"/>
  <c r="E188" i="3"/>
  <c r="E140" i="3"/>
  <c r="E223" i="3"/>
  <c r="E116" i="3"/>
  <c r="E173" i="3"/>
  <c r="E105" i="3"/>
  <c r="E369" i="3"/>
  <c r="E534" i="3"/>
  <c r="E56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487" i="3"/>
  <c r="E374" i="3"/>
  <c r="E500" i="3"/>
  <c r="E413" i="3"/>
  <c r="E460" i="3"/>
  <c r="E436" i="3"/>
  <c r="E90" i="3"/>
  <c r="E131" i="3"/>
  <c r="E155" i="3"/>
  <c r="E297" i="3"/>
  <c r="E348" i="3"/>
  <c r="E375" i="3"/>
  <c r="E58" i="3"/>
  <c r="E462" i="3"/>
  <c r="E446" i="3"/>
  <c r="E98" i="3"/>
  <c r="E138" i="3"/>
  <c r="E163" i="3"/>
  <c r="E248" i="3"/>
  <c r="E266" i="3"/>
  <c r="E386" i="3"/>
  <c r="E584" i="3"/>
  <c r="E24" i="3"/>
  <c r="E87" i="3"/>
  <c r="E250" i="3"/>
  <c r="E341" i="3"/>
  <c r="E19" i="3"/>
  <c r="E179" i="3"/>
  <c r="E222" i="3"/>
  <c r="E323" i="3"/>
  <c r="E373" i="3"/>
  <c r="E82" i="3"/>
  <c r="E536" i="3"/>
  <c r="E148" i="3"/>
  <c r="E212" i="3"/>
  <c r="E199" i="3"/>
  <c r="E286" i="3"/>
  <c r="E575" i="3"/>
  <c r="E442" i="3"/>
  <c r="E466" i="3"/>
  <c r="E541" i="3"/>
  <c r="E430" i="3"/>
  <c r="E449" i="3"/>
  <c r="E255" i="3"/>
  <c r="I3" i="6"/>
  <c r="AP6" i="3"/>
  <c r="E554" i="3"/>
  <c r="E435" i="3"/>
  <c r="E491" i="3"/>
  <c r="E417" i="3"/>
  <c r="E479" i="3"/>
  <c r="E56" i="3"/>
  <c r="E37" i="3"/>
  <c r="E95" i="3"/>
  <c r="E152" i="3"/>
  <c r="E132" i="3"/>
  <c r="E192" i="3"/>
  <c r="E258" i="3"/>
  <c r="E241" i="3"/>
  <c r="E292" i="3"/>
  <c r="E363" i="3"/>
  <c r="E34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68" i="3"/>
  <c r="E63" i="3"/>
  <c r="E81" i="3"/>
  <c r="E118" i="3"/>
  <c r="E264" i="3"/>
  <c r="E283" i="3"/>
  <c r="E309" i="3"/>
  <c r="E21" i="3"/>
  <c r="E165" i="3"/>
  <c r="E244" i="3"/>
  <c r="E149" i="3"/>
  <c r="E167" i="3"/>
  <c r="E141" i="3"/>
  <c r="E312" i="3"/>
  <c r="AD6" i="3"/>
  <c r="E542" i="3"/>
  <c r="E552" i="3"/>
  <c r="E421" i="3"/>
  <c r="E464" i="3"/>
  <c r="E398" i="3"/>
  <c r="E416" i="3"/>
  <c r="E459" i="3"/>
  <c r="E566" i="3"/>
  <c r="E582" i="3"/>
  <c r="E520" i="3"/>
  <c r="E39" i="3"/>
  <c r="E57" i="3"/>
  <c r="E187" i="3"/>
  <c r="E240" i="3"/>
  <c r="E259" i="3"/>
  <c r="E378" i="3"/>
  <c r="E504" i="3"/>
  <c r="E110" i="3"/>
  <c r="E488" i="3"/>
  <c r="E521" i="3"/>
  <c r="E47" i="3"/>
  <c r="E65" i="3"/>
  <c r="E195" i="3"/>
  <c r="E209" i="3"/>
  <c r="E307" i="3"/>
  <c r="E354" i="3"/>
  <c r="E66" i="3"/>
  <c r="E48" i="3"/>
  <c r="E127" i="3"/>
  <c r="E284" i="3"/>
  <c r="Y6" i="3"/>
  <c r="H6" i="3" s="1"/>
  <c r="E51" i="3"/>
  <c r="E154" i="3"/>
  <c r="E493" i="3"/>
  <c r="AA38" i="37"/>
  <c r="S38" i="37"/>
  <c r="U38" i="37"/>
  <c r="AB38" i="37"/>
  <c r="AB9" i="33"/>
  <c r="U9" i="33"/>
  <c r="E543" i="3"/>
  <c r="E197" i="3"/>
  <c r="E393" i="3"/>
  <c r="BA5" i="3"/>
  <c r="AC38" i="40"/>
  <c r="W38" i="40"/>
  <c r="S14" i="40"/>
  <c r="AA14" i="40"/>
  <c r="AB14" i="40"/>
  <c r="U14" i="40"/>
  <c r="W31" i="21"/>
  <c r="AC31" i="21"/>
  <c r="AC28" i="21"/>
  <c r="W28" i="21"/>
  <c r="AB28" i="21"/>
  <c r="U28" i="21"/>
  <c r="E494" i="3"/>
  <c r="E383" i="3"/>
  <c r="C19" i="71"/>
  <c r="T20" i="71"/>
  <c r="D20" i="71"/>
  <c r="U20" i="71" s="1"/>
  <c r="E497" i="3"/>
  <c r="E498" i="3"/>
  <c r="E522" i="3"/>
  <c r="W28" i="37"/>
  <c r="AC28" i="37"/>
  <c r="L6" i="3"/>
  <c r="D121" i="9"/>
  <c r="D7" i="52" s="1"/>
  <c r="D6" i="52"/>
  <c r="E137" i="3"/>
  <c r="E340" i="3"/>
  <c r="E15" i="71"/>
  <c r="E14" i="71" s="1"/>
  <c r="E13" i="71" s="1"/>
  <c r="E12" i="71" s="1"/>
  <c r="V16" i="71"/>
  <c r="E499" i="3"/>
  <c r="E502" i="3"/>
  <c r="E513" i="3"/>
  <c r="E381" i="3"/>
  <c r="AZ5" i="3"/>
  <c r="AY6" i="3" s="1"/>
  <c r="F66" i="71"/>
  <c r="Q67" i="71"/>
  <c r="AB39" i="40"/>
  <c r="U39" i="40"/>
  <c r="AA44" i="39"/>
  <c r="S44" i="39"/>
  <c r="AA26" i="37"/>
  <c r="S26" i="37"/>
  <c r="AC26" i="37"/>
  <c r="W26" i="37"/>
  <c r="AB36" i="39"/>
  <c r="U36" i="39"/>
  <c r="AC31" i="39"/>
  <c r="W31" i="39"/>
  <c r="AB31" i="39"/>
  <c r="U31" i="39"/>
  <c r="W25" i="37"/>
  <c r="AC25" i="37"/>
  <c r="AA24" i="36"/>
  <c r="S24" i="36"/>
  <c r="AC24" i="36"/>
  <c r="W24" i="36"/>
  <c r="AC12" i="36"/>
  <c r="W12" i="36"/>
  <c r="AC23" i="35"/>
  <c r="W23" i="35"/>
  <c r="S27" i="34"/>
  <c r="AA27" i="34"/>
  <c r="BL5" i="3"/>
  <c r="E512" i="3"/>
  <c r="E525" i="3"/>
  <c r="W38" i="37"/>
  <c r="AC38" i="37"/>
  <c r="AC9" i="33"/>
  <c r="W9" i="33"/>
  <c r="E342" i="3"/>
  <c r="U38" i="40"/>
  <c r="AB38" i="40"/>
  <c r="AA38" i="40"/>
  <c r="S38" i="40"/>
  <c r="AC14" i="40"/>
  <c r="W14" i="40"/>
  <c r="S31" i="21"/>
  <c r="AA31" i="21"/>
  <c r="U31" i="21"/>
  <c r="AB31" i="21"/>
  <c r="AA28" i="21"/>
  <c r="S28" i="21"/>
  <c r="J6" i="3"/>
  <c r="E356" i="3"/>
  <c r="E15" i="3"/>
  <c r="E360" i="3"/>
  <c r="E308" i="3"/>
  <c r="AB28" i="37"/>
  <c r="U28" i="37"/>
  <c r="S28" i="37"/>
  <c r="AA28" i="37"/>
  <c r="T6" i="3"/>
  <c r="E365" i="3"/>
  <c r="E507" i="3"/>
  <c r="E517" i="3"/>
  <c r="E524" i="3"/>
  <c r="E355" i="3"/>
  <c r="E389" i="3"/>
  <c r="R6" i="3"/>
  <c r="E539" i="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E51" i="40"/>
  <c r="E16" i="6"/>
  <c r="AC6" i="3"/>
  <c r="E58" i="40"/>
  <c r="E62" i="39"/>
  <c r="E3" i="6"/>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Q52" i="15"/>
  <c r="J18" i="67"/>
  <c r="C32" i="15"/>
  <c r="F1" i="67"/>
  <c r="Q52" i="67"/>
  <c r="Q61" i="67"/>
  <c r="Q74" i="67"/>
  <c r="Q74" i="15"/>
  <c r="Q61" i="15"/>
  <c r="AE11" i="1"/>
  <c r="AE12" i="1"/>
  <c r="AE10" i="1"/>
  <c r="G1" i="73"/>
  <c r="F27" i="83"/>
  <c r="F6" i="84"/>
  <c r="M24" i="86"/>
  <c r="M6" i="84"/>
  <c r="F13" i="86"/>
  <c r="M23" i="84"/>
  <c r="F16" i="86"/>
  <c r="F38" i="84"/>
  <c r="M26" i="86"/>
  <c r="F38" i="85"/>
  <c r="F43" i="85"/>
  <c r="F13" i="84"/>
  <c r="M24" i="84"/>
  <c r="D9" i="81"/>
  <c r="J15" i="85"/>
  <c r="F26" i="84"/>
  <c r="F8" i="85"/>
  <c r="F9" i="86"/>
  <c r="C76" i="85"/>
  <c r="M29" i="86"/>
  <c r="F36" i="86"/>
  <c r="F42" i="84"/>
  <c r="M28" i="86"/>
  <c r="M28" i="84"/>
  <c r="L47" i="84"/>
  <c r="F9" i="84"/>
  <c r="L47" i="86"/>
  <c r="M28" i="85"/>
  <c r="M8" i="84"/>
  <c r="L48" i="86"/>
  <c r="M29" i="84"/>
  <c r="M8" i="86"/>
  <c r="M24" i="85"/>
  <c r="M22" i="84"/>
  <c r="L48" i="85"/>
  <c r="F27" i="82"/>
  <c r="M8" i="85"/>
  <c r="F38" i="86"/>
  <c r="M6" i="85"/>
  <c r="C36" i="81"/>
  <c r="M26" i="84"/>
  <c r="F6" i="86"/>
  <c r="M26" i="85"/>
  <c r="C36" i="83"/>
  <c r="C76" i="86"/>
  <c r="F40" i="86"/>
  <c r="F16" i="84"/>
  <c r="F26" i="85"/>
  <c r="D9" i="83"/>
  <c r="C76" i="84"/>
  <c r="L48" i="84"/>
  <c r="F6" i="85"/>
  <c r="M9" i="84"/>
  <c r="F42" i="85"/>
  <c r="F37" i="85"/>
  <c r="M23" i="85"/>
  <c r="M6" i="86"/>
  <c r="F36" i="85"/>
  <c r="F7" i="86"/>
  <c r="M9" i="86"/>
  <c r="F27" i="81"/>
  <c r="F27" i="68"/>
  <c r="F42" i="86"/>
  <c r="C36" i="82"/>
  <c r="F8" i="86"/>
  <c r="F37" i="84"/>
  <c r="M22" i="86"/>
  <c r="M9" i="85"/>
  <c r="F43" i="84"/>
  <c r="F7" i="84"/>
  <c r="L47" i="85"/>
  <c r="J15" i="84"/>
  <c r="F9" i="85"/>
  <c r="F7" i="85"/>
  <c r="F43" i="86"/>
  <c r="F13" i="85"/>
  <c r="D9" i="82"/>
  <c r="F8" i="84"/>
  <c r="F41" i="67"/>
  <c r="M23" i="86"/>
  <c r="F40" i="85"/>
  <c r="F37" i="86"/>
  <c r="M22" i="85"/>
  <c r="F36" i="84"/>
  <c r="M29" i="85"/>
  <c r="F40" i="84"/>
  <c r="F16" i="85"/>
  <c r="F26" i="86"/>
  <c r="J15" i="86"/>
  <c r="Q73" i="15" l="1"/>
  <c r="B40" i="1"/>
  <c r="F24" i="86" s="1"/>
  <c r="C24" i="86" s="1"/>
  <c r="F1" i="15"/>
  <c r="F68" i="86"/>
  <c r="F71" i="86"/>
  <c r="F66" i="86"/>
  <c r="L59" i="86"/>
  <c r="M59" i="86"/>
  <c r="N59" i="86"/>
  <c r="L58" i="86"/>
  <c r="F51" i="86"/>
  <c r="C6" i="86"/>
  <c r="L56" i="86"/>
  <c r="I54" i="86"/>
  <c r="J57" i="86"/>
  <c r="J55" i="86" s="1"/>
  <c r="J58" i="86" s="1"/>
  <c r="Q50" i="86" s="1"/>
  <c r="J53" i="86"/>
  <c r="Q71" i="86"/>
  <c r="F45" i="83"/>
  <c r="C29" i="83"/>
  <c r="D27" i="83" s="1"/>
  <c r="C47" i="83"/>
  <c r="D45" i="83" s="1"/>
  <c r="F68" i="84"/>
  <c r="N59" i="84"/>
  <c r="L58" i="84"/>
  <c r="M59" i="84"/>
  <c r="L59" i="84"/>
  <c r="F50" i="84"/>
  <c r="M7" i="84"/>
  <c r="J6" i="84" s="1"/>
  <c r="J5" i="84" s="1"/>
  <c r="C27" i="84"/>
  <c r="F65" i="85"/>
  <c r="F51" i="85"/>
  <c r="C6" i="85"/>
  <c r="C10" i="85" s="1"/>
  <c r="C5" i="85" s="1"/>
  <c r="L59" i="85"/>
  <c r="M59" i="85"/>
  <c r="N59" i="85"/>
  <c r="L58" i="85"/>
  <c r="F68" i="85"/>
  <c r="F64" i="85"/>
  <c r="C9" i="81"/>
  <c r="C27" i="86"/>
  <c r="F65" i="86"/>
  <c r="F64" i="86"/>
  <c r="M7" i="86"/>
  <c r="J6" i="86" s="1"/>
  <c r="J5" i="86" s="1"/>
  <c r="F50" i="86"/>
  <c r="C9" i="83"/>
  <c r="F71" i="84"/>
  <c r="L56" i="84"/>
  <c r="J57" i="84"/>
  <c r="J55" i="84" s="1"/>
  <c r="J58" i="84" s="1"/>
  <c r="Q50" i="84" s="1"/>
  <c r="J53" i="84"/>
  <c r="I54" i="84"/>
  <c r="C6" i="84"/>
  <c r="F65" i="84"/>
  <c r="F51" i="84"/>
  <c r="F64" i="84"/>
  <c r="F66" i="84"/>
  <c r="Q71" i="84"/>
  <c r="F71" i="85"/>
  <c r="I54" i="85"/>
  <c r="J53" i="85"/>
  <c r="J57" i="85"/>
  <c r="J55" i="85" s="1"/>
  <c r="J58" i="85" s="1"/>
  <c r="Q50" i="85" s="1"/>
  <c r="F66" i="85"/>
  <c r="F50" i="85"/>
  <c r="M7" i="85"/>
  <c r="J6" i="85" s="1"/>
  <c r="J5" i="85" s="1"/>
  <c r="C27" i="85"/>
  <c r="Q71" i="85"/>
  <c r="F45" i="81"/>
  <c r="C47" i="81"/>
  <c r="D45" i="81" s="1"/>
  <c r="C29" i="81"/>
  <c r="D27" i="81" s="1"/>
  <c r="C9" i="82"/>
  <c r="F45" i="82"/>
  <c r="C29" i="82"/>
  <c r="D27" i="82" s="1"/>
  <c r="C47" i="82"/>
  <c r="D45" i="82" s="1"/>
  <c r="D64" i="71"/>
  <c r="T64" i="71"/>
  <c r="J58" i="43"/>
  <c r="D58" i="43"/>
  <c r="J52" i="43"/>
  <c r="D52" i="43"/>
  <c r="D53" i="43"/>
  <c r="J53" i="43"/>
  <c r="J55" i="43"/>
  <c r="D55" i="43"/>
  <c r="J51" i="43"/>
  <c r="D51" i="43"/>
  <c r="E50" i="43" s="1"/>
  <c r="B48" i="43" s="1"/>
  <c r="C28" i="43" s="1"/>
  <c r="C53" i="86"/>
  <c r="C10" i="86"/>
  <c r="C53" i="85"/>
  <c r="C53" i="84"/>
  <c r="M14" i="1"/>
  <c r="O14" i="1" s="1"/>
  <c r="O16" i="1" s="1"/>
  <c r="E65" i="39"/>
  <c r="E11" i="71"/>
  <c r="E10" i="71" s="1"/>
  <c r="E9" i="71" s="1"/>
  <c r="E8" i="71" s="1"/>
  <c r="E7" i="71" s="1"/>
  <c r="E6" i="71" s="1"/>
  <c r="E5" i="71" s="1"/>
  <c r="V12" i="71"/>
  <c r="Q66" i="71"/>
  <c r="Q65" i="71"/>
  <c r="C18" i="71"/>
  <c r="D19" i="71"/>
  <c r="D44" i="71"/>
  <c r="T44"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17" i="86"/>
  <c r="M27" i="15"/>
  <c r="M27" i="85"/>
  <c r="M27" i="84"/>
  <c r="C16" i="84"/>
  <c r="C16" i="85"/>
  <c r="C16" i="86"/>
  <c r="D10" i="83"/>
  <c r="AE6" i="1"/>
  <c r="M27" i="67"/>
  <c r="M27" i="86"/>
  <c r="C10" i="84" l="1"/>
  <c r="C5" i="84" s="1"/>
  <c r="C38" i="84" s="1"/>
  <c r="F24" i="15"/>
  <c r="C24" i="15" s="1"/>
  <c r="F22" i="69"/>
  <c r="F41" i="69" s="1"/>
  <c r="F22" i="83"/>
  <c r="C26" i="83" s="1"/>
  <c r="D22" i="83" s="1"/>
  <c r="C5" i="86"/>
  <c r="C38" i="86" s="1"/>
  <c r="C49" i="84"/>
  <c r="C61" i="84" s="1"/>
  <c r="F22" i="11"/>
  <c r="C24" i="11" s="1"/>
  <c r="L36" i="43"/>
  <c r="P36" i="43" s="1"/>
  <c r="F24" i="85"/>
  <c r="C24" i="85" s="1"/>
  <c r="F22" i="68"/>
  <c r="F41" i="68" s="1"/>
  <c r="F24" i="67"/>
  <c r="C24" i="67" s="1"/>
  <c r="F25" i="12"/>
  <c r="C26" i="12" s="1"/>
  <c r="D25" i="12" s="1"/>
  <c r="F22" i="81"/>
  <c r="C44" i="81" s="1"/>
  <c r="D41" i="81" s="1"/>
  <c r="F22" i="82"/>
  <c r="F41" i="82" s="1"/>
  <c r="F24" i="84"/>
  <c r="C24" i="84" s="1"/>
  <c r="J26" i="84"/>
  <c r="J24" i="84"/>
  <c r="J24" i="85"/>
  <c r="J26" i="85"/>
  <c r="C10" i="83"/>
  <c r="C8" i="83" s="1"/>
  <c r="D19" i="83"/>
  <c r="D37" i="83" s="1"/>
  <c r="C37" i="83" s="1"/>
  <c r="T15" i="43"/>
  <c r="V15" i="43" s="1"/>
  <c r="T11" i="43"/>
  <c r="V11" i="43" s="1"/>
  <c r="T7" i="43"/>
  <c r="V7" i="43" s="1"/>
  <c r="T14" i="43"/>
  <c r="V14" i="43" s="1"/>
  <c r="T10" i="43"/>
  <c r="V10" i="43" s="1"/>
  <c r="T4" i="43"/>
  <c r="V4" i="43" s="1"/>
  <c r="T2" i="43"/>
  <c r="V2" i="43" s="1"/>
  <c r="T5" i="43"/>
  <c r="V5" i="43" s="1"/>
  <c r="C40" i="43"/>
  <c r="G40" i="43" s="1"/>
  <c r="I40" i="43" s="1"/>
  <c r="C41" i="43"/>
  <c r="G41" i="43" s="1"/>
  <c r="I41" i="43" s="1"/>
  <c r="C42" i="43"/>
  <c r="E42" i="43" s="1"/>
  <c r="C6" i="83" s="1"/>
  <c r="C7" i="83" s="1"/>
  <c r="T13" i="43"/>
  <c r="V13" i="43" s="1"/>
  <c r="T9" i="43"/>
  <c r="V9" i="43" s="1"/>
  <c r="T16" i="43"/>
  <c r="V16" i="43" s="1"/>
  <c r="T12" i="43"/>
  <c r="V12" i="43" s="1"/>
  <c r="T8" i="43"/>
  <c r="V8" i="43" s="1"/>
  <c r="T3" i="43"/>
  <c r="V3" i="43" s="1"/>
  <c r="T6" i="43"/>
  <c r="V6" i="43" s="1"/>
  <c r="C33" i="43"/>
  <c r="E33" i="43" s="1"/>
  <c r="C37" i="43"/>
  <c r="G37" i="43" s="1"/>
  <c r="I37" i="43" s="1"/>
  <c r="C39" i="43"/>
  <c r="G39" i="43" s="1"/>
  <c r="I39" i="43" s="1"/>
  <c r="C38" i="43"/>
  <c r="E38" i="43" s="1"/>
  <c r="J24" i="86"/>
  <c r="J26" i="86"/>
  <c r="E8" i="70"/>
  <c r="J18" i="85"/>
  <c r="J19" i="85"/>
  <c r="L56" i="85"/>
  <c r="Q52" i="85"/>
  <c r="F1" i="85"/>
  <c r="Q73" i="85"/>
  <c r="Q60" i="85"/>
  <c r="C32" i="85"/>
  <c r="C33" i="85"/>
  <c r="F1" i="86"/>
  <c r="Q52" i="86"/>
  <c r="C33" i="86"/>
  <c r="C32" i="86"/>
  <c r="Q60" i="86"/>
  <c r="Q73" i="86"/>
  <c r="B1" i="74"/>
  <c r="B14" i="74"/>
  <c r="C32" i="84"/>
  <c r="C33" i="84"/>
  <c r="C36" i="74"/>
  <c r="C38" i="74" s="1"/>
  <c r="F1" i="84"/>
  <c r="Q52" i="84"/>
  <c r="J19" i="86"/>
  <c r="J18" i="86"/>
  <c r="Q74" i="85"/>
  <c r="Q61" i="85"/>
  <c r="C49" i="85"/>
  <c r="C61" i="85" s="1"/>
  <c r="J19" i="84"/>
  <c r="J18" i="84"/>
  <c r="Q61" i="84"/>
  <c r="Q74" i="84"/>
  <c r="Q73" i="84"/>
  <c r="Q60" i="84"/>
  <c r="C49" i="86"/>
  <c r="C61" i="86" s="1"/>
  <c r="Q61" i="86"/>
  <c r="Q74" i="86"/>
  <c r="C38" i="85"/>
  <c r="D116" i="43"/>
  <c r="M16" i="1"/>
  <c r="L16" i="1" s="1"/>
  <c r="C17" i="71"/>
  <c r="D18" i="71"/>
  <c r="M21" i="6"/>
  <c r="I21" i="6" s="1"/>
  <c r="E6" i="70"/>
  <c r="M24" i="6"/>
  <c r="I24" i="6" s="1"/>
  <c r="S24" i="6" s="1"/>
  <c r="S11" i="1"/>
  <c r="E11" i="70" s="1"/>
  <c r="M22" i="6"/>
  <c r="I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C18" i="4"/>
  <c r="D23" i="6"/>
  <c r="D5" i="6"/>
  <c r="D12" i="6"/>
  <c r="D11" i="6"/>
  <c r="D13" i="6"/>
  <c r="D28" i="6"/>
  <c r="D30" i="6" s="1"/>
  <c r="E61" i="40"/>
  <c r="H26" i="6"/>
  <c r="P14" i="1"/>
  <c r="P16" i="1" s="1"/>
  <c r="C11" i="12" s="1"/>
  <c r="N16" i="1"/>
  <c r="H67" i="39"/>
  <c r="G69" i="39"/>
  <c r="E40"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82"/>
  <c r="AE9" i="1"/>
  <c r="C14" i="67"/>
  <c r="C17" i="84"/>
  <c r="F41" i="15"/>
  <c r="D10" i="68"/>
  <c r="C17" i="15"/>
  <c r="C34" i="83"/>
  <c r="C14" i="86"/>
  <c r="C17" i="67"/>
  <c r="C17" i="85"/>
  <c r="D10" i="81"/>
  <c r="AE8" i="1"/>
  <c r="AE7" i="1"/>
  <c r="C48" i="84" l="1"/>
  <c r="C60" i="84" s="1"/>
  <c r="O36" i="43"/>
  <c r="F41" i="81"/>
  <c r="C26" i="69"/>
  <c r="D22" i="69" s="1"/>
  <c r="F41" i="83"/>
  <c r="C44" i="69"/>
  <c r="D41" i="69" s="1"/>
  <c r="C24" i="83"/>
  <c r="C44" i="83"/>
  <c r="D41" i="83" s="1"/>
  <c r="C26" i="11"/>
  <c r="D22" i="11" s="1"/>
  <c r="E41" i="43"/>
  <c r="M36" i="43"/>
  <c r="G38" i="43"/>
  <c r="I38" i="43" s="1"/>
  <c r="F69" i="15"/>
  <c r="C23" i="11"/>
  <c r="C44" i="11"/>
  <c r="D41" i="11" s="1"/>
  <c r="L37" i="43"/>
  <c r="M37" i="43" s="1"/>
  <c r="Q36" i="43"/>
  <c r="N36" i="43"/>
  <c r="C24" i="81"/>
  <c r="C26" i="81"/>
  <c r="D22" i="81" s="1"/>
  <c r="C26" i="68"/>
  <c r="D22" i="68" s="1"/>
  <c r="C24" i="82"/>
  <c r="C44" i="68"/>
  <c r="D41" i="68" s="1"/>
  <c r="E37" i="43"/>
  <c r="C44" i="82"/>
  <c r="D41" i="82" s="1"/>
  <c r="C26" i="82"/>
  <c r="D22" i="82" s="1"/>
  <c r="C6" i="68"/>
  <c r="C7" i="68" s="1"/>
  <c r="E39" i="43"/>
  <c r="C30" i="43" s="1"/>
  <c r="B2" i="43" s="1"/>
  <c r="B3" i="43" s="1"/>
  <c r="C34" i="43"/>
  <c r="E34" i="43" s="1"/>
  <c r="G42" i="43"/>
  <c r="I42" i="43" s="1"/>
  <c r="C5" i="83"/>
  <c r="C23" i="83" s="1"/>
  <c r="C10" i="81"/>
  <c r="C8" i="81" s="1"/>
  <c r="D19" i="81"/>
  <c r="D37" i="81" s="1"/>
  <c r="C37" i="81" s="1"/>
  <c r="C18" i="86"/>
  <c r="C15" i="86"/>
  <c r="C35" i="83"/>
  <c r="C38" i="83"/>
  <c r="C10" i="82"/>
  <c r="C8" i="82" s="1"/>
  <c r="D19" i="82"/>
  <c r="D37" i="82" s="1"/>
  <c r="C37" i="82" s="1"/>
  <c r="C14" i="74"/>
  <c r="B2" i="74" s="1"/>
  <c r="L19" i="88"/>
  <c r="M19" i="88"/>
  <c r="C118" i="88" s="1"/>
  <c r="C16" i="74" s="1"/>
  <c r="E7" i="70"/>
  <c r="S22" i="6"/>
  <c r="L18" i="88"/>
  <c r="C48" i="85"/>
  <c r="C6" i="82"/>
  <c r="C7" i="82" s="1"/>
  <c r="M19" i="87"/>
  <c r="C118" i="87" s="1"/>
  <c r="C15" i="74" s="1"/>
  <c r="M19" i="89"/>
  <c r="C118" i="89" s="1"/>
  <c r="C17" i="74" s="1"/>
  <c r="L19" i="89"/>
  <c r="S20" i="6"/>
  <c r="L18" i="87"/>
  <c r="S21" i="6"/>
  <c r="L18" i="89"/>
  <c r="C48" i="86"/>
  <c r="C6" i="81"/>
  <c r="F50" i="83"/>
  <c r="F50" i="82"/>
  <c r="F50" i="81"/>
  <c r="C25" i="11"/>
  <c r="H25" i="6"/>
  <c r="D17" i="71"/>
  <c r="C16" i="71"/>
  <c r="M23" i="43"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M21" i="84"/>
  <c r="C14" i="84"/>
  <c r="F41" i="85"/>
  <c r="C34" i="68"/>
  <c r="F35" i="86"/>
  <c r="F41" i="86"/>
  <c r="M21" i="86"/>
  <c r="F41" i="84"/>
  <c r="C14" i="85"/>
  <c r="C34" i="81"/>
  <c r="M21" i="85"/>
  <c r="F35" i="84"/>
  <c r="C14" i="15"/>
  <c r="B6" i="76"/>
  <c r="F35" i="85"/>
  <c r="C34" i="82"/>
  <c r="C66" i="84" l="1"/>
  <c r="C22" i="11"/>
  <c r="C31" i="11" s="1"/>
  <c r="Q37" i="43"/>
  <c r="N37" i="43"/>
  <c r="C31" i="43"/>
  <c r="P37" i="43"/>
  <c r="O37" i="43"/>
  <c r="C19" i="86"/>
  <c r="C20" i="86" s="1"/>
  <c r="C26" i="86" s="1"/>
  <c r="C20" i="83"/>
  <c r="C28" i="83" s="1"/>
  <c r="C27" i="83" s="1"/>
  <c r="F69" i="84"/>
  <c r="J29" i="84"/>
  <c r="F69" i="86"/>
  <c r="J29" i="86"/>
  <c r="F69" i="85"/>
  <c r="J29" i="85"/>
  <c r="C5" i="82"/>
  <c r="C33" i="83"/>
  <c r="C39" i="83" s="1"/>
  <c r="C35" i="81"/>
  <c r="C38" i="81"/>
  <c r="C15" i="84"/>
  <c r="C18" i="84"/>
  <c r="C18" i="85"/>
  <c r="C15" i="85"/>
  <c r="C38" i="82"/>
  <c r="C35" i="82"/>
  <c r="D7" i="74"/>
  <c r="D8" i="74"/>
  <c r="C66" i="86"/>
  <c r="C60" i="86"/>
  <c r="L19" i="87"/>
  <c r="C66" i="85"/>
  <c r="C60" i="85"/>
  <c r="C7" i="81"/>
  <c r="C5" i="81" s="1"/>
  <c r="J20" i="86"/>
  <c r="J17" i="86" s="1"/>
  <c r="F63" i="86"/>
  <c r="C62" i="86" s="1"/>
  <c r="C34" i="86"/>
  <c r="C31" i="86" s="1"/>
  <c r="J20" i="85"/>
  <c r="J17" i="85" s="1"/>
  <c r="F63" i="85"/>
  <c r="C62" i="85" s="1"/>
  <c r="C34" i="85"/>
  <c r="C31" i="85" s="1"/>
  <c r="F63" i="84"/>
  <c r="C62" i="84" s="1"/>
  <c r="C59" i="84" s="1"/>
  <c r="C34" i="84"/>
  <c r="C31" i="84" s="1"/>
  <c r="J20" i="84"/>
  <c r="J17" i="84"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B2" i="76"/>
  <c r="I69" i="39"/>
  <c r="J67" i="39"/>
  <c r="I63" i="40"/>
  <c r="H65" i="40"/>
  <c r="I58" i="21"/>
  <c r="J58" i="21" s="1"/>
  <c r="K58" i="21" s="1"/>
  <c r="L58" i="21" s="1"/>
  <c r="M58" i="21" s="1"/>
  <c r="N58" i="21" s="1"/>
  <c r="O58" i="21" s="1"/>
  <c r="H7" i="21" s="1"/>
  <c r="J48" i="35"/>
  <c r="E6" i="76"/>
  <c r="E2" i="76" l="1"/>
  <c r="B3" i="76" s="1"/>
  <c r="C33" i="81"/>
  <c r="C42" i="81" s="1"/>
  <c r="C59" i="86"/>
  <c r="C25" i="83"/>
  <c r="C22" i="83" s="1"/>
  <c r="C31" i="83" s="1"/>
  <c r="C42" i="83"/>
  <c r="C23" i="86"/>
  <c r="C29" i="86" s="1"/>
  <c r="J59" i="86" s="1"/>
  <c r="J60" i="86" s="1"/>
  <c r="Q48" i="86" s="1"/>
  <c r="C19" i="85"/>
  <c r="C20" i="85" s="1"/>
  <c r="C26" i="85" s="1"/>
  <c r="C19" i="84"/>
  <c r="C20" i="84" s="1"/>
  <c r="C26" i="84" s="1"/>
  <c r="C33" i="82"/>
  <c r="C39" i="82" s="1"/>
  <c r="C20" i="82"/>
  <c r="C25" i="82" s="1"/>
  <c r="C23" i="82"/>
  <c r="F7" i="21"/>
  <c r="C59" i="85"/>
  <c r="C46" i="83"/>
  <c r="C45" i="83" s="1"/>
  <c r="C43" i="83"/>
  <c r="C20" i="81"/>
  <c r="C23" i="81"/>
  <c r="J7" i="21"/>
  <c r="W7" i="21" s="1"/>
  <c r="C14" i="71"/>
  <c r="D15"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C39" i="81" l="1"/>
  <c r="C43" i="81" s="1"/>
  <c r="C41" i="81" s="1"/>
  <c r="C41" i="83"/>
  <c r="C49" i="83" s="1"/>
  <c r="C51" i="83" s="1"/>
  <c r="C52" i="83" s="1"/>
  <c r="B2" i="83" s="1"/>
  <c r="C42" i="82"/>
  <c r="C57" i="86"/>
  <c r="C64" i="86" s="1"/>
  <c r="C36" i="86"/>
  <c r="Q49" i="86"/>
  <c r="C23" i="84"/>
  <c r="C29" i="84" s="1"/>
  <c r="C57" i="84" s="1"/>
  <c r="C64" i="84" s="1"/>
  <c r="C23" i="85"/>
  <c r="C29" i="85" s="1"/>
  <c r="C57" i="85" s="1"/>
  <c r="C64" i="85" s="1"/>
  <c r="J14" i="86"/>
  <c r="J22" i="86" s="1"/>
  <c r="C13" i="86"/>
  <c r="C75" i="86" s="1"/>
  <c r="C22" i="82"/>
  <c r="C28" i="82"/>
  <c r="C27" i="82" s="1"/>
  <c r="J7" i="35"/>
  <c r="C46" i="82"/>
  <c r="C45" i="82" s="1"/>
  <c r="C43" i="82"/>
  <c r="C28" i="81"/>
  <c r="C27" i="81" s="1"/>
  <c r="C25" i="81"/>
  <c r="C22" i="81" s="1"/>
  <c r="L57" i="86"/>
  <c r="L60" i="86" s="1"/>
  <c r="L46" i="86" s="1"/>
  <c r="L57" i="85"/>
  <c r="L60" i="85" s="1"/>
  <c r="L57" i="84"/>
  <c r="L60" i="84" s="1"/>
  <c r="D14" i="71"/>
  <c r="C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19" i="89"/>
  <c r="C46" i="81" l="1"/>
  <c r="C45" i="81" s="1"/>
  <c r="C36" i="84"/>
  <c r="C41" i="82"/>
  <c r="C49" i="82" s="1"/>
  <c r="C51" i="82" s="1"/>
  <c r="C36" i="85"/>
  <c r="J59" i="84"/>
  <c r="J60" i="84" s="1"/>
  <c r="Q48" i="84" s="1"/>
  <c r="Q70" i="86"/>
  <c r="C56" i="86"/>
  <c r="C65" i="86" s="1"/>
  <c r="C58" i="86" s="1"/>
  <c r="C67" i="86" s="1"/>
  <c r="C68" i="86" s="1"/>
  <c r="C71" i="86" s="1"/>
  <c r="Q49" i="84"/>
  <c r="C37" i="86"/>
  <c r="C30" i="86" s="1"/>
  <c r="C39" i="86" s="1"/>
  <c r="C40" i="86" s="1"/>
  <c r="Q47" i="86" s="1"/>
  <c r="Q53" i="86" s="1"/>
  <c r="C13" i="84"/>
  <c r="Q70" i="84" s="1"/>
  <c r="J14" i="84"/>
  <c r="J22" i="84" s="1"/>
  <c r="J13" i="86"/>
  <c r="J23" i="86" s="1"/>
  <c r="J16" i="86" s="1"/>
  <c r="J25" i="86" s="1"/>
  <c r="C13" i="85"/>
  <c r="C75" i="85" s="1"/>
  <c r="Q49" i="85"/>
  <c r="J59" i="85"/>
  <c r="J60" i="85" s="1"/>
  <c r="Q48" i="85" s="1"/>
  <c r="J14" i="85"/>
  <c r="J22" i="85" s="1"/>
  <c r="C31" i="82"/>
  <c r="C57" i="83"/>
  <c r="C56" i="83" s="1"/>
  <c r="C49" i="81"/>
  <c r="C51" i="81" s="1"/>
  <c r="C21" i="89"/>
  <c r="C102" i="89"/>
  <c r="C31" i="81"/>
  <c r="Q66" i="86"/>
  <c r="Q57" i="86"/>
  <c r="Q66" i="85"/>
  <c r="Q57" i="85"/>
  <c r="Q66" i="84"/>
  <c r="Q57" i="84"/>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83"/>
  <c r="D35" i="89" s="1"/>
  <c r="D34" i="89"/>
  <c r="B3" i="68"/>
  <c r="J13" i="84" l="1"/>
  <c r="J23" i="84" s="1"/>
  <c r="J16" i="84" s="1"/>
  <c r="J25" i="84" s="1"/>
  <c r="L46" i="84"/>
  <c r="C56" i="84"/>
  <c r="C65" i="84" s="1"/>
  <c r="C58" i="84" s="1"/>
  <c r="C67" i="84" s="1"/>
  <c r="C68" i="84" s="1"/>
  <c r="C71" i="84" s="1"/>
  <c r="C75" i="84"/>
  <c r="C37" i="85"/>
  <c r="C30" i="85" s="1"/>
  <c r="C39" i="85" s="1"/>
  <c r="C37" i="84"/>
  <c r="C30" i="84" s="1"/>
  <c r="C39" i="84" s="1"/>
  <c r="I39" i="84" s="1"/>
  <c r="C80" i="86"/>
  <c r="C79" i="86" s="1"/>
  <c r="Q69" i="86"/>
  <c r="Q68" i="86" s="1"/>
  <c r="C46" i="86"/>
  <c r="Q65" i="86"/>
  <c r="Q75" i="86" s="1"/>
  <c r="C83" i="86"/>
  <c r="C82" i="86" s="1"/>
  <c r="Q70" i="85"/>
  <c r="J13" i="85"/>
  <c r="J23" i="85" s="1"/>
  <c r="J16" i="85" s="1"/>
  <c r="J25" i="85" s="1"/>
  <c r="C43" i="86"/>
  <c r="Q56" i="86"/>
  <c r="Q62" i="86" s="1"/>
  <c r="B2" i="86"/>
  <c r="C56" i="85"/>
  <c r="C65" i="85" s="1"/>
  <c r="C58" i="85" s="1"/>
  <c r="C67" i="85" s="1"/>
  <c r="C68" i="85" s="1"/>
  <c r="C71" i="85" s="1"/>
  <c r="C52" i="81"/>
  <c r="B2" i="81" s="1"/>
  <c r="C52" i="82"/>
  <c r="B2" i="82" s="1"/>
  <c r="L46" i="85"/>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19" i="89"/>
  <c r="B3" i="82"/>
  <c r="L51" i="86"/>
  <c r="C20" i="89"/>
  <c r="C20" i="9"/>
  <c r="D2" i="21"/>
  <c r="C19" i="87"/>
  <c r="D35" i="9"/>
  <c r="C19" i="88"/>
  <c r="L51" i="84"/>
  <c r="B3" i="81"/>
  <c r="C80" i="85" l="1"/>
  <c r="C79" i="85" s="1"/>
  <c r="I39" i="85"/>
  <c r="Q67" i="86"/>
  <c r="C40" i="85"/>
  <c r="C83" i="85" s="1"/>
  <c r="C82" i="85" s="1"/>
  <c r="C56" i="68"/>
  <c r="C80" i="84"/>
  <c r="C79" i="84" s="1"/>
  <c r="Q69" i="85"/>
  <c r="Q68" i="85" s="1"/>
  <c r="Q69" i="84"/>
  <c r="Q68" i="84" s="1"/>
  <c r="C40" i="84"/>
  <c r="B2" i="84" s="1"/>
  <c r="C57" i="82"/>
  <c r="D22" i="89"/>
  <c r="D21" i="89"/>
  <c r="D102" i="89"/>
  <c r="G19" i="89"/>
  <c r="G21" i="89" s="1"/>
  <c r="B3" i="86"/>
  <c r="C102" i="88"/>
  <c r="C21" i="88"/>
  <c r="C102" i="87"/>
  <c r="C21" i="87"/>
  <c r="C57" i="81"/>
  <c r="C103" i="89"/>
  <c r="Q67" i="84"/>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19" i="87"/>
  <c r="C20" i="88"/>
  <c r="D20" i="89"/>
  <c r="L51" i="67"/>
  <c r="D34" i="9"/>
  <c r="C20" i="87"/>
  <c r="D35" i="88"/>
  <c r="L51" i="85"/>
  <c r="D2" i="33"/>
  <c r="Q69" i="15" l="1"/>
  <c r="Q68" i="15" s="1"/>
  <c r="I39" i="15"/>
  <c r="C103" i="87"/>
  <c r="Q67" i="85"/>
  <c r="C56" i="82"/>
  <c r="C56" i="81"/>
  <c r="B2" i="85"/>
  <c r="C43" i="85"/>
  <c r="Q47" i="85"/>
  <c r="Q53" i="85" s="1"/>
  <c r="C46" i="85"/>
  <c r="Q65" i="85"/>
  <c r="Q75" i="85" s="1"/>
  <c r="Q56" i="85"/>
  <c r="Q62" i="85" s="1"/>
  <c r="C32" i="89"/>
  <c r="C35" i="89" s="1"/>
  <c r="C34" i="89" s="1"/>
  <c r="Q47" i="84"/>
  <c r="Q53" i="84" s="1"/>
  <c r="Q56" i="84"/>
  <c r="Q62" i="84" s="1"/>
  <c r="C83" i="84"/>
  <c r="C82" i="84" s="1"/>
  <c r="C43" i="84"/>
  <c r="C46" i="84"/>
  <c r="Q65" i="84"/>
  <c r="Q75" i="84" s="1"/>
  <c r="D103" i="89"/>
  <c r="G20" i="89"/>
  <c r="C103" i="88"/>
  <c r="G19" i="87"/>
  <c r="G21" i="87" s="1"/>
  <c r="D22" i="87"/>
  <c r="D21" i="87"/>
  <c r="D102" i="87"/>
  <c r="B3" i="85"/>
  <c r="B3" i="84"/>
  <c r="L57" i="67"/>
  <c r="L60" i="67" s="1"/>
  <c r="L46" i="67" s="1"/>
  <c r="D2" i="67" s="1"/>
  <c r="B2" i="67" s="1"/>
  <c r="Q67" i="67"/>
  <c r="D10" i="71"/>
  <c r="C9" i="71"/>
  <c r="Q65" i="67"/>
  <c r="B2" i="33"/>
  <c r="B3" i="33" s="1"/>
  <c r="C83" i="67"/>
  <c r="C82" i="67" s="1"/>
  <c r="Q47" i="67"/>
  <c r="Q53" i="67" s="1"/>
  <c r="C46" i="67"/>
  <c r="Q56" i="67"/>
  <c r="C43" i="67"/>
  <c r="C80" i="15"/>
  <c r="C79" i="15" s="1"/>
  <c r="C40" i="15"/>
  <c r="C46" i="15" s="1"/>
  <c r="H7" i="39"/>
  <c r="J7" i="39"/>
  <c r="S7" i="39"/>
  <c r="AA7" i="39"/>
  <c r="R47" i="39" s="1"/>
  <c r="O63" i="40"/>
  <c r="O65" i="40" s="1"/>
  <c r="N65" i="40"/>
  <c r="D20" i="87"/>
  <c r="D20" i="88"/>
  <c r="D2" i="34"/>
  <c r="D34" i="88"/>
  <c r="D2" i="37"/>
  <c r="D2" i="35"/>
  <c r="D2" i="36"/>
  <c r="D35" i="87"/>
  <c r="D19" i="88"/>
  <c r="D34" i="87"/>
  <c r="L51" i="15"/>
  <c r="D22" i="88" l="1"/>
  <c r="G19" i="88"/>
  <c r="G21" i="88" s="1"/>
  <c r="D102" i="88"/>
  <c r="D21" i="88"/>
  <c r="D103" i="87"/>
  <c r="G20" i="87"/>
  <c r="C32" i="87" s="1"/>
  <c r="C35" i="87" s="1"/>
  <c r="C34" i="87" s="1"/>
  <c r="D103" i="88"/>
  <c r="G20" i="88"/>
  <c r="Q57" i="67"/>
  <c r="Q62" i="67" s="1"/>
  <c r="Q66" i="67"/>
  <c r="Q75" i="67" s="1"/>
  <c r="C8" i="71"/>
  <c r="D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7" i="1"/>
  <c r="D19" i="9"/>
  <c r="AO12" i="1"/>
  <c r="AO10" i="1"/>
  <c r="AO8" i="1"/>
  <c r="AO9" i="1"/>
  <c r="AO6" i="1"/>
  <c r="C32" i="88" l="1"/>
  <c r="C35" i="88" s="1"/>
  <c r="C34" i="88" s="1"/>
  <c r="D102" i="9"/>
  <c r="D21" i="9"/>
  <c r="G19" i="9"/>
  <c r="G21" i="9" s="1"/>
  <c r="D22"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C6" i="71"/>
  <c r="D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6" i="90" s="1"/>
  <c r="D118" i="9"/>
  <c r="E6" i="90" s="1"/>
  <c r="H118" i="9"/>
  <c r="I6" i="90" s="1"/>
  <c r="D119" i="9" l="1"/>
  <c r="D5" i="52" s="1"/>
  <c r="B49" i="72" s="1"/>
  <c r="I118" i="9"/>
  <c r="J6" i="90" s="1"/>
  <c r="F4" i="52"/>
  <c r="B51" i="72" s="1"/>
  <c r="H101" i="9"/>
  <c r="D5" i="53" s="1"/>
  <c r="D4" i="52"/>
  <c r="B47" i="72" s="1"/>
  <c r="C104" i="9"/>
  <c r="D14" i="74"/>
  <c r="H119" i="9"/>
  <c r="H5" i="52" s="1"/>
  <c r="H4" i="52"/>
  <c r="F119" i="9"/>
  <c r="F5" i="52" s="1"/>
  <c r="B53" i="72" s="1"/>
  <c r="G118" i="9"/>
  <c r="H6" i="90" s="1"/>
  <c r="C105" i="9" l="1"/>
  <c r="H102" i="9"/>
  <c r="D7" i="53" s="1"/>
  <c r="B21" i="72" s="1"/>
  <c r="I4" i="52"/>
  <c r="G4" i="52"/>
  <c r="B52" i="72" s="1"/>
  <c r="K14" i="74"/>
  <c r="G14" i="74"/>
  <c r="U14" i="74" s="1"/>
  <c r="D45" i="9"/>
  <c r="D52" i="9" s="1"/>
  <c r="M48" i="9"/>
  <c r="H107" i="9"/>
  <c r="D122" i="9" s="1"/>
  <c r="E118" i="9"/>
  <c r="F6" i="90" s="1"/>
  <c r="B20" i="72"/>
  <c r="D6" i="53"/>
  <c r="B22" i="72" s="1"/>
  <c r="F14" i="74"/>
  <c r="E14" i="74"/>
  <c r="L14" i="74" s="1"/>
  <c r="N14" i="74" l="1"/>
  <c r="O14" i="74" s="1"/>
  <c r="R14" i="74"/>
  <c r="C78" i="9"/>
  <c r="C73" i="9" s="1"/>
  <c r="E4" i="52"/>
  <c r="B48" i="72" s="1"/>
  <c r="C72" i="9"/>
  <c r="H108" i="9"/>
  <c r="D55" i="9"/>
  <c r="M53" i="9" s="1"/>
  <c r="C93" i="9"/>
  <c r="C86" i="9" s="1"/>
  <c r="C64" i="9"/>
  <c r="C63" i="9" s="1"/>
  <c r="C67" i="9" s="1"/>
  <c r="D59" i="9" s="1"/>
  <c r="M55" i="9" s="1"/>
  <c r="C85" i="9"/>
  <c r="D53" i="9"/>
  <c r="D13" i="53"/>
  <c r="D14" i="53" s="1"/>
  <c r="B32" i="72" s="1"/>
  <c r="M49" i="9"/>
  <c r="L66" i="9" s="1"/>
  <c r="M66" i="9" s="1"/>
  <c r="D123" i="9"/>
  <c r="D9" i="52" s="1"/>
  <c r="D8" i="52"/>
  <c r="B30" i="72"/>
  <c r="C79" i="9" l="1"/>
  <c r="C80" i="9" s="1"/>
  <c r="E80" i="9" s="1"/>
  <c r="E81" i="9" s="1"/>
  <c r="C95" i="9"/>
  <c r="C96" i="9" s="1"/>
  <c r="E96" i="9" s="1"/>
  <c r="E97" i="9" s="1"/>
  <c r="D15" i="53"/>
  <c r="B31" i="72" s="1"/>
  <c r="L65" i="9"/>
  <c r="M65" i="9" s="1"/>
  <c r="C68" i="9"/>
  <c r="D54" i="9" s="1"/>
  <c r="L64" i="9"/>
  <c r="M64" i="9" s="1"/>
  <c r="L68" i="9"/>
  <c r="M68" i="9" s="1"/>
  <c r="L63" i="9"/>
  <c r="M63" i="9" s="1"/>
  <c r="L67" i="9"/>
  <c r="M67" i="9" s="1"/>
  <c r="C81" i="9" l="1"/>
  <c r="M69" i="9"/>
  <c r="N69" i="9" s="1"/>
  <c r="C97" i="9"/>
  <c r="D58" i="9" s="1"/>
  <c r="D56" i="9" s="1"/>
  <c r="M54" i="9" s="1"/>
  <c r="N57" i="9" s="1"/>
  <c r="P57" i="9" l="1"/>
  <c r="N58" i="9"/>
  <c r="N59" i="9"/>
  <c r="N60" i="9" l="1"/>
  <c r="N61" i="9"/>
  <c r="F118" i="87"/>
  <c r="G7" i="90" s="1"/>
  <c r="D118" i="87"/>
  <c r="H118" i="87"/>
  <c r="D15" i="74" l="1"/>
  <c r="I7" i="90"/>
  <c r="D119" i="87"/>
  <c r="E7" i="90"/>
  <c r="H101" i="87"/>
  <c r="D45" i="87" s="1"/>
  <c r="C78" i="87" s="1"/>
  <c r="C73" i="87" s="1"/>
  <c r="I118" i="87"/>
  <c r="H119" i="87"/>
  <c r="C104" i="87"/>
  <c r="F119" i="87"/>
  <c r="G118" i="87"/>
  <c r="H7" i="90" s="1"/>
  <c r="G15" i="74" l="1"/>
  <c r="U15" i="74" s="1"/>
  <c r="E15" i="74"/>
  <c r="F15" i="74"/>
  <c r="C105" i="87"/>
  <c r="J7" i="90"/>
  <c r="D53" i="87"/>
  <c r="H102" i="87"/>
  <c r="E118" i="87"/>
  <c r="F7" i="90" s="1"/>
  <c r="M48" i="87"/>
  <c r="D55" i="87"/>
  <c r="M53" i="87" s="1"/>
  <c r="C72" i="87"/>
  <c r="C79" i="87" s="1"/>
  <c r="C80" i="87" s="1"/>
  <c r="E80" i="87" s="1"/>
  <c r="E81" i="87" s="1"/>
  <c r="D52" i="87"/>
  <c r="H107" i="87"/>
  <c r="C64" i="87"/>
  <c r="C63" i="87" s="1"/>
  <c r="C67" i="87" s="1"/>
  <c r="C68" i="87" s="1"/>
  <c r="D54" i="87" s="1"/>
  <c r="C85" i="87"/>
  <c r="C93" i="87"/>
  <c r="C86" i="87" s="1"/>
  <c r="H108" i="87" l="1"/>
  <c r="D59" i="87"/>
  <c r="M55" i="87" s="1"/>
  <c r="D122" i="87"/>
  <c r="D123" i="87" s="1"/>
  <c r="M49" i="87"/>
  <c r="L67" i="87" s="1"/>
  <c r="M67" i="87" s="1"/>
  <c r="C95" i="87"/>
  <c r="C96" i="87" s="1"/>
  <c r="E96" i="87" s="1"/>
  <c r="E97" i="87" s="1"/>
  <c r="C81" i="87"/>
  <c r="L64" i="87" l="1"/>
  <c r="M64" i="87" s="1"/>
  <c r="L68" i="87"/>
  <c r="M68" i="87" s="1"/>
  <c r="L65" i="87"/>
  <c r="M65" i="87" s="1"/>
  <c r="L63" i="87"/>
  <c r="M63" i="87" s="1"/>
  <c r="L66" i="87"/>
  <c r="M66" i="87" s="1"/>
  <c r="C97" i="87"/>
  <c r="D58" i="87" s="1"/>
  <c r="D56" i="87" s="1"/>
  <c r="M54" i="87" s="1"/>
  <c r="N57" i="87" s="1"/>
  <c r="N59" i="87" s="1"/>
  <c r="N60" i="87" s="1"/>
  <c r="D118" i="88"/>
  <c r="F118" i="88"/>
  <c r="H118" i="88"/>
  <c r="I9" i="90" s="1"/>
  <c r="F119" i="88" l="1"/>
  <c r="G9" i="90"/>
  <c r="D119" i="88"/>
  <c r="E9" i="90"/>
  <c r="M69" i="87"/>
  <c r="N69" i="87" s="1"/>
  <c r="P57" i="87"/>
  <c r="N61" i="87"/>
  <c r="N58" i="87"/>
  <c r="H119" i="88"/>
  <c r="D16" i="74"/>
  <c r="G118" i="88"/>
  <c r="H9" i="90" s="1"/>
  <c r="H101" i="88"/>
  <c r="I118" i="88"/>
  <c r="J9" i="90" s="1"/>
  <c r="C104" i="88"/>
  <c r="K16" i="74" l="1"/>
  <c r="G16" i="74"/>
  <c r="U16" i="74" s="1"/>
  <c r="E16" i="74"/>
  <c r="L16" i="74" s="1"/>
  <c r="F16" i="74"/>
  <c r="H102" i="88"/>
  <c r="C105" i="88"/>
  <c r="E118" i="88"/>
  <c r="F9" i="90" s="1"/>
  <c r="M48" i="88"/>
  <c r="H107" i="88"/>
  <c r="D45" i="88"/>
  <c r="N16" i="74" l="1"/>
  <c r="O16" i="74" s="1"/>
  <c r="R16" i="74"/>
  <c r="D52" i="88"/>
  <c r="C93" i="88"/>
  <c r="C86" i="88" s="1"/>
  <c r="D55" i="88"/>
  <c r="M53" i="88" s="1"/>
  <c r="C64" i="88"/>
  <c r="C63" i="88" s="1"/>
  <c r="C67" i="88" s="1"/>
  <c r="C78" i="88"/>
  <c r="C73" i="88" s="1"/>
  <c r="D53" i="88"/>
  <c r="C72" i="88"/>
  <c r="C85" i="88"/>
  <c r="D122" i="88"/>
  <c r="D123" i="88" s="1"/>
  <c r="M49" i="88"/>
  <c r="H108" i="88"/>
  <c r="C95" i="88" l="1"/>
  <c r="C79" i="88"/>
  <c r="C80" i="88" s="1"/>
  <c r="E80" i="88" s="1"/>
  <c r="E81" i="88" s="1"/>
  <c r="L68" i="88"/>
  <c r="M68" i="88" s="1"/>
  <c r="L65" i="88"/>
  <c r="M65" i="88" s="1"/>
  <c r="L64" i="88"/>
  <c r="M64" i="88" s="1"/>
  <c r="L63" i="88"/>
  <c r="M63" i="88" s="1"/>
  <c r="L67" i="88"/>
  <c r="M67" i="88" s="1"/>
  <c r="L66" i="88"/>
  <c r="M66" i="88" s="1"/>
  <c r="C96" i="88"/>
  <c r="E96" i="88" s="1"/>
  <c r="E97" i="88" s="1"/>
  <c r="D59" i="88"/>
  <c r="M55" i="88" s="1"/>
  <c r="C68" i="88"/>
  <c r="D54" i="88" s="1"/>
  <c r="C81" i="88" l="1"/>
  <c r="C97" i="88"/>
  <c r="D58" i="88" s="1"/>
  <c r="D56" i="88" s="1"/>
  <c r="M54" i="88" s="1"/>
  <c r="N57" i="88" s="1"/>
  <c r="N58" i="88" s="1"/>
  <c r="M69" i="88"/>
  <c r="N69" i="88" s="1"/>
  <c r="N59" i="88" l="1"/>
  <c r="N60" i="88" s="1"/>
  <c r="P57" i="88"/>
  <c r="F118" i="89"/>
  <c r="G8" i="90" s="1"/>
  <c r="G10" i="90" s="1"/>
  <c r="D118" i="89"/>
  <c r="E8" i="90" s="1"/>
  <c r="E10" i="90" s="1"/>
  <c r="H118" i="89"/>
  <c r="I8" i="90" s="1"/>
  <c r="I10" i="90" s="1"/>
  <c r="N61" i="88" l="1"/>
  <c r="D119" i="89"/>
  <c r="F119" i="89"/>
  <c r="H119" i="89"/>
  <c r="D17" i="74"/>
  <c r="C104" i="89"/>
  <c r="H101" i="89"/>
  <c r="I118" i="89"/>
  <c r="J8" i="90" s="1"/>
  <c r="G118" i="89"/>
  <c r="H8" i="90" s="1"/>
  <c r="K15" i="74" l="1"/>
  <c r="G17" i="74"/>
  <c r="E17" i="74"/>
  <c r="F17" i="74"/>
  <c r="B5" i="74"/>
  <c r="AI27" i="1" s="1"/>
  <c r="M48" i="89"/>
  <c r="D45" i="89"/>
  <c r="H107" i="89"/>
  <c r="H102" i="89"/>
  <c r="E118" i="89"/>
  <c r="F8" i="90" s="1"/>
  <c r="C105" i="89"/>
  <c r="B6" i="74" l="1"/>
  <c r="C6" i="74" s="1"/>
  <c r="U17" i="74"/>
  <c r="K24" i="74"/>
  <c r="R15" i="74"/>
  <c r="L15" i="74"/>
  <c r="N15" i="74"/>
  <c r="O15" i="74" s="1"/>
  <c r="C5" i="74"/>
  <c r="D5" i="74"/>
  <c r="D53" i="89"/>
  <c r="C78" i="89"/>
  <c r="C73" i="89" s="1"/>
  <c r="C93" i="89"/>
  <c r="C86" i="89" s="1"/>
  <c r="D55" i="89"/>
  <c r="M53" i="89" s="1"/>
  <c r="C85" i="89"/>
  <c r="D52" i="89"/>
  <c r="C72" i="89"/>
  <c r="C64" i="89"/>
  <c r="C63" i="89" s="1"/>
  <c r="C67" i="89" s="1"/>
  <c r="H108" i="89"/>
  <c r="D122" i="89"/>
  <c r="D123" i="89" s="1"/>
  <c r="M49" i="89"/>
  <c r="D6" i="74" l="1"/>
  <c r="C95" i="89"/>
  <c r="C96" i="89" s="1"/>
  <c r="E96" i="89" s="1"/>
  <c r="E97" i="89" s="1"/>
  <c r="C79" i="89"/>
  <c r="C80" i="89" s="1"/>
  <c r="E80" i="89" s="1"/>
  <c r="E81" i="89" s="1"/>
  <c r="D59" i="89"/>
  <c r="M55" i="89" s="1"/>
  <c r="C68" i="89"/>
  <c r="D54" i="89" s="1"/>
  <c r="L67" i="89"/>
  <c r="M67" i="89" s="1"/>
  <c r="L64" i="89"/>
  <c r="M64" i="89" s="1"/>
  <c r="L66" i="89"/>
  <c r="M66" i="89" s="1"/>
  <c r="L68" i="89"/>
  <c r="M68" i="89" s="1"/>
  <c r="L63" i="89"/>
  <c r="M63" i="89" s="1"/>
  <c r="L65" i="89"/>
  <c r="M65" i="89" s="1"/>
  <c r="C97" i="89" l="1"/>
  <c r="D58" i="89" s="1"/>
  <c r="D56" i="89" s="1"/>
  <c r="M54" i="89" s="1"/>
  <c r="N57" i="89" s="1"/>
  <c r="N58" i="89" s="1"/>
  <c r="C81" i="89"/>
  <c r="M69" i="89"/>
  <c r="N69" i="89" s="1"/>
  <c r="P57" i="89" l="1"/>
  <c r="N59" i="89"/>
  <c r="N61" i="89" s="1"/>
  <c r="N60" i="8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作者</author>
  </authors>
  <commentList>
    <comment ref="B18" authorId="0">
      <text>
        <r>
          <rPr>
            <b/>
            <sz val="9"/>
            <color indexed="81"/>
            <rFont val="宋体"/>
            <family val="3"/>
            <charset val="134"/>
          </rPr>
          <t>作者:</t>
        </r>
        <r>
          <rPr>
            <sz val="9"/>
            <color indexed="81"/>
            <rFont val="宋体"/>
            <family val="3"/>
            <charset val="134"/>
          </rPr>
          <t xml:space="preserve">
原孙漺</t>
        </r>
      </text>
    </comment>
    <comment ref="B19" authorId="0">
      <text>
        <r>
          <rPr>
            <b/>
            <sz val="9"/>
            <color indexed="81"/>
            <rFont val="宋体"/>
            <family val="3"/>
            <charset val="134"/>
          </rPr>
          <t>作者:</t>
        </r>
        <r>
          <rPr>
            <sz val="9"/>
            <color indexed="81"/>
            <rFont val="宋体"/>
            <family val="3"/>
            <charset val="134"/>
          </rPr>
          <t xml:space="preserve">
原朴圣默</t>
        </r>
      </text>
    </comment>
    <comment ref="B20" authorId="0">
      <text>
        <r>
          <rPr>
            <b/>
            <sz val="9"/>
            <color indexed="81"/>
            <rFont val="宋体"/>
            <family val="3"/>
            <charset val="134"/>
          </rPr>
          <t>作者:</t>
        </r>
        <r>
          <rPr>
            <sz val="9"/>
            <color indexed="81"/>
            <rFont val="宋体"/>
            <family val="3"/>
            <charset val="134"/>
          </rPr>
          <t xml:space="preserve">
原曹震</t>
        </r>
      </text>
    </comment>
    <comment ref="B21" authorId="0">
      <text>
        <r>
          <rPr>
            <b/>
            <sz val="9"/>
            <color indexed="81"/>
            <rFont val="宋体"/>
            <family val="3"/>
            <charset val="134"/>
          </rPr>
          <t>作者:</t>
        </r>
        <r>
          <rPr>
            <sz val="9"/>
            <color indexed="81"/>
            <rFont val="宋体"/>
            <family val="3"/>
            <charset val="134"/>
          </rPr>
          <t xml:space="preserve">
原刘海宁</t>
        </r>
      </text>
    </comment>
    <comment ref="B22" authorId="0">
      <text>
        <r>
          <rPr>
            <b/>
            <sz val="9"/>
            <color indexed="81"/>
            <rFont val="宋体"/>
            <family val="3"/>
            <charset val="134"/>
          </rPr>
          <t>作者:</t>
        </r>
        <r>
          <rPr>
            <sz val="9"/>
            <color indexed="81"/>
            <rFont val="宋体"/>
            <family val="3"/>
            <charset val="134"/>
          </rPr>
          <t xml:space="preserve">
原李若男</t>
        </r>
      </text>
    </comment>
    <comment ref="B23" authorId="0">
      <text>
        <r>
          <rPr>
            <b/>
            <sz val="9"/>
            <color indexed="81"/>
            <rFont val="宋体"/>
            <family val="3"/>
            <charset val="134"/>
          </rPr>
          <t>作者:</t>
        </r>
        <r>
          <rPr>
            <sz val="9"/>
            <color indexed="81"/>
            <rFont val="宋体"/>
            <family val="3"/>
            <charset val="134"/>
          </rPr>
          <t xml:space="preserve">
原赵辰</t>
        </r>
      </text>
    </comment>
    <comment ref="B24" authorId="0">
      <text>
        <r>
          <rPr>
            <b/>
            <sz val="9"/>
            <color indexed="81"/>
            <rFont val="宋体"/>
            <family val="3"/>
            <charset val="134"/>
          </rPr>
          <t>作者:</t>
        </r>
        <r>
          <rPr>
            <sz val="9"/>
            <color indexed="81"/>
            <rFont val="宋体"/>
            <family val="3"/>
            <charset val="134"/>
          </rPr>
          <t xml:space="preserve">
原北京弓矢道体育文化发展有限公司</t>
        </r>
      </text>
    </comment>
    <comment ref="B29" authorId="0">
      <text>
        <r>
          <rPr>
            <b/>
            <sz val="9"/>
            <color indexed="81"/>
            <rFont val="宋体"/>
            <family val="3"/>
            <charset val="134"/>
          </rPr>
          <t>作者:</t>
        </r>
        <r>
          <rPr>
            <sz val="9"/>
            <color indexed="81"/>
            <rFont val="宋体"/>
            <family val="3"/>
            <charset val="134"/>
          </rPr>
          <t xml:space="preserve">
原李迪平</t>
        </r>
      </text>
    </comment>
    <comment ref="B32" authorId="0">
      <text>
        <r>
          <rPr>
            <b/>
            <sz val="9"/>
            <color indexed="81"/>
            <rFont val="宋体"/>
            <family val="3"/>
            <charset val="134"/>
          </rPr>
          <t>作者:</t>
        </r>
        <r>
          <rPr>
            <sz val="9"/>
            <color indexed="81"/>
            <rFont val="宋体"/>
            <family val="3"/>
            <charset val="134"/>
          </rPr>
          <t xml:space="preserve">
原盛霞</t>
        </r>
      </text>
    </comment>
    <comment ref="B34" authorId="0">
      <text>
        <r>
          <rPr>
            <b/>
            <sz val="9"/>
            <color indexed="81"/>
            <rFont val="宋体"/>
            <family val="3"/>
            <charset val="134"/>
          </rPr>
          <t>作者:</t>
        </r>
        <r>
          <rPr>
            <sz val="9"/>
            <color indexed="81"/>
            <rFont val="宋体"/>
            <family val="3"/>
            <charset val="134"/>
          </rPr>
          <t xml:space="preserve">
原奥迈嘉海文化产业（北京）有限公司</t>
        </r>
      </text>
    </comment>
    <comment ref="B35" authorId="0">
      <text>
        <r>
          <rPr>
            <b/>
            <sz val="9"/>
            <color indexed="81"/>
            <rFont val="宋体"/>
            <family val="3"/>
            <charset val="134"/>
          </rPr>
          <t>作者:</t>
        </r>
        <r>
          <rPr>
            <sz val="9"/>
            <color indexed="81"/>
            <rFont val="宋体"/>
            <family val="3"/>
            <charset val="134"/>
          </rPr>
          <t xml:space="preserve">
原奥迈嘉海文化产业（北京）有限公司</t>
        </r>
      </text>
    </comment>
    <comment ref="B38" authorId="0">
      <text>
        <r>
          <rPr>
            <b/>
            <sz val="9"/>
            <color indexed="81"/>
            <rFont val="宋体"/>
            <family val="3"/>
            <charset val="134"/>
          </rPr>
          <t>作者:</t>
        </r>
        <r>
          <rPr>
            <sz val="9"/>
            <color indexed="81"/>
            <rFont val="宋体"/>
            <family val="3"/>
            <charset val="134"/>
          </rPr>
          <t xml:space="preserve">
原池程明</t>
        </r>
      </text>
    </comment>
    <comment ref="B39" authorId="0">
      <text>
        <r>
          <rPr>
            <b/>
            <sz val="9"/>
            <color indexed="81"/>
            <rFont val="宋体"/>
            <family val="3"/>
            <charset val="134"/>
          </rPr>
          <t>作者:</t>
        </r>
        <r>
          <rPr>
            <sz val="9"/>
            <color indexed="81"/>
            <rFont val="宋体"/>
            <family val="3"/>
            <charset val="134"/>
          </rPr>
          <t xml:space="preserve">
原李骊</t>
        </r>
      </text>
    </comment>
    <comment ref="B45" authorId="0">
      <text>
        <r>
          <rPr>
            <b/>
            <sz val="9"/>
            <color indexed="81"/>
            <rFont val="宋体"/>
            <family val="3"/>
            <charset val="134"/>
          </rPr>
          <t>作者:</t>
        </r>
        <r>
          <rPr>
            <sz val="9"/>
            <color indexed="81"/>
            <rFont val="宋体"/>
            <family val="3"/>
            <charset val="134"/>
          </rPr>
          <t xml:space="preserve">
原北京新淳室内设计咨询有限公司</t>
        </r>
      </text>
    </comment>
    <comment ref="B49" authorId="0">
      <text>
        <r>
          <rPr>
            <b/>
            <sz val="9"/>
            <color indexed="81"/>
            <rFont val="宋体"/>
            <family val="3"/>
            <charset val="134"/>
          </rPr>
          <t>作者:</t>
        </r>
        <r>
          <rPr>
            <sz val="9"/>
            <color indexed="81"/>
            <rFont val="宋体"/>
            <family val="3"/>
            <charset val="134"/>
          </rPr>
          <t xml:space="preserve">
原刘佩辰</t>
        </r>
      </text>
    </comment>
    <comment ref="B50" authorId="0">
      <text>
        <r>
          <rPr>
            <b/>
            <sz val="9"/>
            <color indexed="81"/>
            <rFont val="宋体"/>
            <family val="3"/>
            <charset val="134"/>
          </rPr>
          <t>作者:</t>
        </r>
        <r>
          <rPr>
            <sz val="9"/>
            <color indexed="81"/>
            <rFont val="宋体"/>
            <family val="3"/>
            <charset val="134"/>
          </rPr>
          <t xml:space="preserve">
原刘佩辰</t>
        </r>
      </text>
    </comment>
    <comment ref="B52" authorId="0">
      <text>
        <r>
          <rPr>
            <b/>
            <sz val="9"/>
            <color indexed="81"/>
            <rFont val="宋体"/>
            <family val="3"/>
            <charset val="134"/>
          </rPr>
          <t>作者:</t>
        </r>
        <r>
          <rPr>
            <sz val="9"/>
            <color indexed="81"/>
            <rFont val="宋体"/>
            <family val="3"/>
            <charset val="134"/>
          </rPr>
          <t xml:space="preserve">
原郑振华</t>
        </r>
      </text>
    </comment>
    <comment ref="B53" authorId="0">
      <text>
        <r>
          <rPr>
            <b/>
            <sz val="9"/>
            <color indexed="81"/>
            <rFont val="宋体"/>
            <family val="3"/>
            <charset val="134"/>
          </rPr>
          <t>作者:</t>
        </r>
        <r>
          <rPr>
            <sz val="9"/>
            <color indexed="81"/>
            <rFont val="宋体"/>
            <family val="3"/>
            <charset val="134"/>
          </rPr>
          <t xml:space="preserve">
原郑振华</t>
        </r>
      </text>
    </comment>
    <comment ref="B54" authorId="0">
      <text>
        <r>
          <rPr>
            <b/>
            <sz val="9"/>
            <color indexed="81"/>
            <rFont val="宋体"/>
            <family val="3"/>
            <charset val="134"/>
          </rPr>
          <t>作者:</t>
        </r>
        <r>
          <rPr>
            <sz val="9"/>
            <color indexed="81"/>
            <rFont val="宋体"/>
            <family val="3"/>
            <charset val="134"/>
          </rPr>
          <t xml:space="preserve">
原郑振华</t>
        </r>
      </text>
    </comment>
    <comment ref="B55" authorId="0">
      <text>
        <r>
          <rPr>
            <b/>
            <sz val="9"/>
            <color indexed="81"/>
            <rFont val="宋体"/>
            <family val="3"/>
            <charset val="134"/>
          </rPr>
          <t>作者:</t>
        </r>
        <r>
          <rPr>
            <sz val="9"/>
            <color indexed="81"/>
            <rFont val="宋体"/>
            <family val="3"/>
            <charset val="134"/>
          </rPr>
          <t xml:space="preserve">
原王璇</t>
        </r>
      </text>
    </comment>
    <comment ref="B56" authorId="0">
      <text>
        <r>
          <rPr>
            <b/>
            <sz val="9"/>
            <color indexed="81"/>
            <rFont val="宋体"/>
            <family val="3"/>
            <charset val="134"/>
          </rPr>
          <t>作者:</t>
        </r>
        <r>
          <rPr>
            <sz val="9"/>
            <color indexed="81"/>
            <rFont val="宋体"/>
            <family val="3"/>
            <charset val="134"/>
          </rPr>
          <t xml:space="preserve">
原王璇</t>
        </r>
      </text>
    </comment>
    <comment ref="B57" authorId="0">
      <text>
        <r>
          <rPr>
            <b/>
            <sz val="9"/>
            <color indexed="81"/>
            <rFont val="宋体"/>
            <family val="3"/>
            <charset val="134"/>
          </rPr>
          <t>作者:</t>
        </r>
        <r>
          <rPr>
            <sz val="9"/>
            <color indexed="81"/>
            <rFont val="宋体"/>
            <family val="3"/>
            <charset val="134"/>
          </rPr>
          <t xml:space="preserve">
原冉素霞</t>
        </r>
      </text>
    </comment>
    <comment ref="B59" authorId="0">
      <text>
        <r>
          <rPr>
            <b/>
            <sz val="9"/>
            <color indexed="81"/>
            <rFont val="宋体"/>
            <family val="3"/>
            <charset val="134"/>
          </rPr>
          <t>作者:</t>
        </r>
        <r>
          <rPr>
            <sz val="9"/>
            <color indexed="81"/>
            <rFont val="宋体"/>
            <family val="3"/>
            <charset val="134"/>
          </rPr>
          <t xml:space="preserve">
原郭子峰</t>
        </r>
      </text>
    </comment>
    <comment ref="B60" authorId="0">
      <text>
        <r>
          <rPr>
            <b/>
            <sz val="9"/>
            <color indexed="81"/>
            <rFont val="宋体"/>
            <family val="3"/>
            <charset val="134"/>
          </rPr>
          <t>作者:</t>
        </r>
        <r>
          <rPr>
            <sz val="9"/>
            <color indexed="81"/>
            <rFont val="宋体"/>
            <family val="3"/>
            <charset val="134"/>
          </rPr>
          <t xml:space="preserve">
原张增辉</t>
        </r>
      </text>
    </comment>
    <comment ref="B61" authorId="0">
      <text>
        <r>
          <rPr>
            <b/>
            <sz val="9"/>
            <color indexed="81"/>
            <rFont val="宋体"/>
            <family val="3"/>
            <charset val="134"/>
          </rPr>
          <t>作者:</t>
        </r>
        <r>
          <rPr>
            <sz val="9"/>
            <color indexed="81"/>
            <rFont val="宋体"/>
            <family val="3"/>
            <charset val="134"/>
          </rPr>
          <t xml:space="preserve">
原李子康</t>
        </r>
      </text>
    </comment>
    <comment ref="B62" authorId="0">
      <text>
        <r>
          <rPr>
            <b/>
            <sz val="9"/>
            <color indexed="81"/>
            <rFont val="宋体"/>
            <family val="3"/>
            <charset val="134"/>
          </rPr>
          <t>作者:</t>
        </r>
        <r>
          <rPr>
            <sz val="9"/>
            <color indexed="81"/>
            <rFont val="宋体"/>
            <family val="3"/>
            <charset val="134"/>
          </rPr>
          <t xml:space="preserve">
原刘宇</t>
        </r>
      </text>
    </comment>
    <comment ref="B63" authorId="0">
      <text>
        <r>
          <rPr>
            <b/>
            <sz val="9"/>
            <color indexed="81"/>
            <rFont val="宋体"/>
            <family val="3"/>
            <charset val="134"/>
          </rPr>
          <t>作者:</t>
        </r>
        <r>
          <rPr>
            <sz val="9"/>
            <color indexed="81"/>
            <rFont val="宋体"/>
            <family val="3"/>
            <charset val="134"/>
          </rPr>
          <t xml:space="preserve">
原徐童垒</t>
        </r>
      </text>
    </comment>
    <comment ref="B64" authorId="0">
      <text>
        <r>
          <rPr>
            <b/>
            <sz val="9"/>
            <color indexed="81"/>
            <rFont val="宋体"/>
            <family val="3"/>
            <charset val="134"/>
          </rPr>
          <t>作者:</t>
        </r>
        <r>
          <rPr>
            <sz val="9"/>
            <color indexed="81"/>
            <rFont val="宋体"/>
            <family val="3"/>
            <charset val="134"/>
          </rPr>
          <t xml:space="preserve">
原北京赛德阳光医院管理集团有限公司</t>
        </r>
      </text>
    </comment>
    <comment ref="B65" authorId="0">
      <text>
        <r>
          <rPr>
            <b/>
            <sz val="9"/>
            <color indexed="81"/>
            <rFont val="宋体"/>
            <family val="3"/>
            <charset val="134"/>
          </rPr>
          <t>作者:</t>
        </r>
        <r>
          <rPr>
            <sz val="9"/>
            <color indexed="81"/>
            <rFont val="宋体"/>
            <family val="3"/>
            <charset val="134"/>
          </rPr>
          <t xml:space="preserve">
原徐东、石雅楠</t>
        </r>
      </text>
    </comment>
    <comment ref="B67" authorId="0">
      <text>
        <r>
          <rPr>
            <b/>
            <sz val="9"/>
            <color indexed="81"/>
            <rFont val="宋体"/>
            <family val="3"/>
            <charset val="134"/>
          </rPr>
          <t>作者:</t>
        </r>
        <r>
          <rPr>
            <sz val="9"/>
            <color indexed="81"/>
            <rFont val="宋体"/>
            <family val="3"/>
            <charset val="134"/>
          </rPr>
          <t xml:space="preserve">
原北京海簋餐饮管理有限公司</t>
        </r>
      </text>
    </comment>
    <comment ref="B68" authorId="0">
      <text>
        <r>
          <rPr>
            <b/>
            <sz val="9"/>
            <color indexed="81"/>
            <rFont val="宋体"/>
            <family val="3"/>
            <charset val="134"/>
          </rPr>
          <t>作者:</t>
        </r>
        <r>
          <rPr>
            <sz val="9"/>
            <color indexed="81"/>
            <rFont val="宋体"/>
            <family val="3"/>
            <charset val="134"/>
          </rPr>
          <t xml:space="preserve">
原顾春龙</t>
        </r>
      </text>
    </comment>
    <comment ref="B69" authorId="0">
      <text>
        <r>
          <rPr>
            <b/>
            <sz val="9"/>
            <color indexed="81"/>
            <rFont val="宋体"/>
            <family val="3"/>
            <charset val="134"/>
          </rPr>
          <t>作者:</t>
        </r>
        <r>
          <rPr>
            <sz val="9"/>
            <color indexed="81"/>
            <rFont val="宋体"/>
            <family val="3"/>
            <charset val="134"/>
          </rPr>
          <t xml:space="preserve">
原北京畅捷达通讯有限公司</t>
        </r>
      </text>
    </comment>
    <comment ref="B70" authorId="0">
      <text>
        <r>
          <rPr>
            <b/>
            <sz val="9"/>
            <color indexed="81"/>
            <rFont val="宋体"/>
            <family val="3"/>
            <charset val="134"/>
          </rPr>
          <t>作者:</t>
        </r>
        <r>
          <rPr>
            <sz val="9"/>
            <color indexed="81"/>
            <rFont val="宋体"/>
            <family val="3"/>
            <charset val="134"/>
          </rPr>
          <t xml:space="preserve">
原北京京华大鼎餐饮管理有限公司</t>
        </r>
      </text>
    </comment>
    <comment ref="B71" authorId="0">
      <text>
        <r>
          <rPr>
            <b/>
            <sz val="9"/>
            <color indexed="81"/>
            <rFont val="宋体"/>
            <family val="3"/>
            <charset val="134"/>
          </rPr>
          <t>作者:</t>
        </r>
        <r>
          <rPr>
            <sz val="9"/>
            <color indexed="81"/>
            <rFont val="宋体"/>
            <family val="3"/>
            <charset val="134"/>
          </rPr>
          <t xml:space="preserve">
原谢云</t>
        </r>
      </text>
    </comment>
    <comment ref="B73" authorId="0">
      <text>
        <r>
          <rPr>
            <b/>
            <sz val="9"/>
            <color indexed="81"/>
            <rFont val="宋体"/>
            <family val="3"/>
            <charset val="134"/>
          </rPr>
          <t>作者:</t>
        </r>
        <r>
          <rPr>
            <sz val="9"/>
            <color indexed="81"/>
            <rFont val="宋体"/>
            <family val="3"/>
            <charset val="134"/>
          </rPr>
          <t xml:space="preserve">
原邵如春</t>
        </r>
      </text>
    </comment>
    <comment ref="B75" authorId="0">
      <text>
        <r>
          <rPr>
            <b/>
            <sz val="9"/>
            <color indexed="81"/>
            <rFont val="宋体"/>
            <family val="3"/>
            <charset val="134"/>
          </rPr>
          <t>作者:</t>
        </r>
        <r>
          <rPr>
            <sz val="9"/>
            <color indexed="81"/>
            <rFont val="宋体"/>
            <family val="3"/>
            <charset val="134"/>
          </rPr>
          <t xml:space="preserve">
原李娜</t>
        </r>
      </text>
    </comment>
    <comment ref="B76" authorId="0">
      <text>
        <r>
          <rPr>
            <b/>
            <sz val="9"/>
            <color indexed="81"/>
            <rFont val="宋体"/>
            <family val="3"/>
            <charset val="134"/>
          </rPr>
          <t>作者:</t>
        </r>
        <r>
          <rPr>
            <sz val="9"/>
            <color indexed="81"/>
            <rFont val="宋体"/>
            <family val="3"/>
            <charset val="134"/>
          </rPr>
          <t xml:space="preserve">
原于汀</t>
        </r>
      </text>
    </comment>
    <comment ref="B77" authorId="0">
      <text>
        <r>
          <rPr>
            <b/>
            <sz val="9"/>
            <color indexed="81"/>
            <rFont val="宋体"/>
            <family val="3"/>
            <charset val="134"/>
          </rPr>
          <t>作者:</t>
        </r>
        <r>
          <rPr>
            <sz val="9"/>
            <color indexed="81"/>
            <rFont val="宋体"/>
            <family val="3"/>
            <charset val="134"/>
          </rPr>
          <t xml:space="preserve">
原黑龙江省问鼎餐饮管理有限公司，北京爱姆餐饮有限公司变更</t>
        </r>
      </text>
    </comment>
    <comment ref="B83" authorId="0">
      <text>
        <r>
          <rPr>
            <b/>
            <sz val="9"/>
            <color indexed="81"/>
            <rFont val="宋体"/>
            <family val="3"/>
            <charset val="134"/>
          </rPr>
          <t>作者:</t>
        </r>
        <r>
          <rPr>
            <sz val="9"/>
            <color indexed="81"/>
            <rFont val="宋体"/>
            <family val="3"/>
            <charset val="134"/>
          </rPr>
          <t xml:space="preserve">
原纯友丽（北京）商贸有限公司</t>
        </r>
      </text>
    </comment>
    <comment ref="B85" authorId="0">
      <text>
        <r>
          <rPr>
            <b/>
            <sz val="9"/>
            <color indexed="81"/>
            <rFont val="宋体"/>
            <family val="3"/>
            <charset val="134"/>
          </rPr>
          <t>作者:</t>
        </r>
        <r>
          <rPr>
            <sz val="9"/>
            <color indexed="81"/>
            <rFont val="宋体"/>
            <family val="3"/>
            <charset val="134"/>
          </rPr>
          <t xml:space="preserve">
原郝庆</t>
        </r>
      </text>
    </comment>
    <comment ref="B88" authorId="0">
      <text>
        <r>
          <rPr>
            <b/>
            <sz val="9"/>
            <color indexed="81"/>
            <rFont val="宋体"/>
            <family val="3"/>
            <charset val="134"/>
          </rPr>
          <t>作者:</t>
        </r>
        <r>
          <rPr>
            <sz val="9"/>
            <color indexed="81"/>
            <rFont val="宋体"/>
            <family val="3"/>
            <charset val="134"/>
          </rPr>
          <t xml:space="preserve">
原王小淳</t>
        </r>
      </text>
    </comment>
    <comment ref="B90" authorId="0">
      <text>
        <r>
          <rPr>
            <b/>
            <sz val="9"/>
            <color indexed="81"/>
            <rFont val="宋体"/>
            <family val="3"/>
            <charset val="134"/>
          </rPr>
          <t>作者:</t>
        </r>
        <r>
          <rPr>
            <sz val="9"/>
            <color indexed="81"/>
            <rFont val="宋体"/>
            <family val="3"/>
            <charset val="134"/>
          </rPr>
          <t xml:space="preserve">
原李圣楠</t>
        </r>
      </text>
    </comment>
    <comment ref="B91" authorId="0">
      <text>
        <r>
          <rPr>
            <b/>
            <sz val="9"/>
            <color indexed="81"/>
            <rFont val="宋体"/>
            <family val="3"/>
            <charset val="134"/>
          </rPr>
          <t>作者:</t>
        </r>
        <r>
          <rPr>
            <sz val="9"/>
            <color indexed="81"/>
            <rFont val="宋体"/>
            <family val="3"/>
            <charset val="134"/>
          </rPr>
          <t xml:space="preserve">
原曹瑞邦</t>
        </r>
      </text>
    </comment>
    <comment ref="B92" authorId="0">
      <text>
        <r>
          <rPr>
            <b/>
            <sz val="9"/>
            <color indexed="81"/>
            <rFont val="宋体"/>
            <family val="3"/>
            <charset val="134"/>
          </rPr>
          <t>作者:</t>
        </r>
        <r>
          <rPr>
            <sz val="9"/>
            <color indexed="81"/>
            <rFont val="宋体"/>
            <family val="3"/>
            <charset val="134"/>
          </rPr>
          <t xml:space="preserve">
原张桐</t>
        </r>
      </text>
    </comment>
    <comment ref="B93" authorId="0">
      <text>
        <r>
          <rPr>
            <b/>
            <sz val="9"/>
            <color indexed="81"/>
            <rFont val="宋体"/>
            <family val="3"/>
            <charset val="134"/>
          </rPr>
          <t>作者:</t>
        </r>
        <r>
          <rPr>
            <sz val="9"/>
            <color indexed="81"/>
            <rFont val="宋体"/>
            <family val="3"/>
            <charset val="134"/>
          </rPr>
          <t xml:space="preserve">
原田园子，后变为海南艾利维森健身文化有限公司</t>
        </r>
      </text>
    </comment>
    <comment ref="B94" authorId="0">
      <text>
        <r>
          <rPr>
            <b/>
            <sz val="9"/>
            <color indexed="81"/>
            <rFont val="宋体"/>
            <family val="3"/>
            <charset val="134"/>
          </rPr>
          <t>作者:</t>
        </r>
        <r>
          <rPr>
            <sz val="9"/>
            <color indexed="81"/>
            <rFont val="宋体"/>
            <family val="3"/>
            <charset val="134"/>
          </rPr>
          <t xml:space="preserve">
原李若男</t>
        </r>
      </text>
    </comment>
    <comment ref="B95" authorId="0">
      <text>
        <r>
          <rPr>
            <b/>
            <sz val="9"/>
            <color indexed="81"/>
            <rFont val="宋体"/>
            <family val="3"/>
            <charset val="134"/>
          </rPr>
          <t>作者:</t>
        </r>
        <r>
          <rPr>
            <sz val="9"/>
            <color indexed="81"/>
            <rFont val="宋体"/>
            <family val="3"/>
            <charset val="134"/>
          </rPr>
          <t xml:space="preserve">
原张涛</t>
        </r>
      </text>
    </comment>
    <comment ref="B96" authorId="0">
      <text>
        <r>
          <rPr>
            <b/>
            <sz val="9"/>
            <color indexed="81"/>
            <rFont val="宋体"/>
            <family val="3"/>
            <charset val="134"/>
          </rPr>
          <t>作者:</t>
        </r>
        <r>
          <rPr>
            <sz val="9"/>
            <color indexed="81"/>
            <rFont val="宋体"/>
            <family val="3"/>
            <charset val="134"/>
          </rPr>
          <t xml:space="preserve">
原歌尔丝德（北京）形象设计有限公司</t>
        </r>
      </text>
    </comment>
    <comment ref="B98" authorId="0">
      <text>
        <r>
          <rPr>
            <b/>
            <sz val="9"/>
            <color indexed="81"/>
            <rFont val="宋体"/>
            <family val="3"/>
            <charset val="134"/>
          </rPr>
          <t>作者:</t>
        </r>
        <r>
          <rPr>
            <sz val="9"/>
            <color indexed="81"/>
            <rFont val="宋体"/>
            <family val="3"/>
            <charset val="134"/>
          </rPr>
          <t xml:space="preserve">
原牛颍</t>
        </r>
      </text>
    </comment>
    <comment ref="B100" authorId="0">
      <text>
        <r>
          <rPr>
            <b/>
            <sz val="9"/>
            <color indexed="81"/>
            <rFont val="宋体"/>
            <family val="3"/>
            <charset val="134"/>
          </rPr>
          <t>作者:</t>
        </r>
        <r>
          <rPr>
            <sz val="9"/>
            <color indexed="81"/>
            <rFont val="宋体"/>
            <family val="3"/>
            <charset val="134"/>
          </rPr>
          <t xml:space="preserve">
原周冬升</t>
        </r>
      </text>
    </comment>
    <comment ref="B103" authorId="0">
      <text>
        <r>
          <rPr>
            <b/>
            <sz val="9"/>
            <color indexed="81"/>
            <rFont val="宋体"/>
            <family val="3"/>
            <charset val="134"/>
          </rPr>
          <t>作者:</t>
        </r>
        <r>
          <rPr>
            <sz val="9"/>
            <color indexed="81"/>
            <rFont val="宋体"/>
            <family val="3"/>
            <charset val="134"/>
          </rPr>
          <t xml:space="preserve">
原袁海波</t>
        </r>
      </text>
    </comment>
    <comment ref="B104" authorId="0">
      <text>
        <r>
          <rPr>
            <b/>
            <sz val="9"/>
            <color indexed="81"/>
            <rFont val="宋体"/>
            <family val="3"/>
            <charset val="134"/>
          </rPr>
          <t>作者:</t>
        </r>
        <r>
          <rPr>
            <sz val="9"/>
            <color indexed="81"/>
            <rFont val="宋体"/>
            <family val="3"/>
            <charset val="134"/>
          </rPr>
          <t xml:space="preserve">
原北京裕学教育科技有限公司</t>
        </r>
      </text>
    </comment>
    <comment ref="B106" authorId="0">
      <text>
        <r>
          <rPr>
            <b/>
            <sz val="9"/>
            <color indexed="81"/>
            <rFont val="宋体"/>
            <family val="3"/>
            <charset val="134"/>
          </rPr>
          <t>作者:</t>
        </r>
        <r>
          <rPr>
            <sz val="9"/>
            <color indexed="81"/>
            <rFont val="宋体"/>
            <family val="3"/>
            <charset val="134"/>
          </rPr>
          <t xml:space="preserve">
原肖银伟</t>
        </r>
      </text>
    </comment>
    <comment ref="B107" authorId="0">
      <text>
        <r>
          <rPr>
            <b/>
            <sz val="9"/>
            <color indexed="81"/>
            <rFont val="宋体"/>
            <family val="3"/>
            <charset val="134"/>
          </rPr>
          <t>作者:</t>
        </r>
        <r>
          <rPr>
            <sz val="9"/>
            <color indexed="81"/>
            <rFont val="宋体"/>
            <family val="3"/>
            <charset val="134"/>
          </rPr>
          <t xml:space="preserve">
原李怡然</t>
        </r>
      </text>
    </comment>
    <comment ref="B108" authorId="0">
      <text>
        <r>
          <rPr>
            <b/>
            <sz val="9"/>
            <color indexed="81"/>
            <rFont val="宋体"/>
            <family val="3"/>
            <charset val="134"/>
          </rPr>
          <t>作者:</t>
        </r>
        <r>
          <rPr>
            <sz val="9"/>
            <color indexed="81"/>
            <rFont val="宋体"/>
            <family val="3"/>
            <charset val="134"/>
          </rPr>
          <t xml:space="preserve">
原彭伟</t>
        </r>
      </text>
    </comment>
    <comment ref="B109" authorId="0">
      <text>
        <r>
          <rPr>
            <b/>
            <sz val="9"/>
            <color indexed="81"/>
            <rFont val="宋体"/>
            <family val="3"/>
            <charset val="134"/>
          </rPr>
          <t>作者:</t>
        </r>
        <r>
          <rPr>
            <sz val="9"/>
            <color indexed="81"/>
            <rFont val="宋体"/>
            <family val="3"/>
            <charset val="134"/>
          </rPr>
          <t xml:space="preserve">
原彭伟</t>
        </r>
      </text>
    </comment>
    <comment ref="B110" authorId="0">
      <text>
        <r>
          <rPr>
            <b/>
            <sz val="9"/>
            <color indexed="81"/>
            <rFont val="宋体"/>
            <family val="3"/>
            <charset val="134"/>
          </rPr>
          <t>作者:</t>
        </r>
        <r>
          <rPr>
            <sz val="9"/>
            <color indexed="81"/>
            <rFont val="宋体"/>
            <family val="3"/>
            <charset val="134"/>
          </rPr>
          <t xml:space="preserve">
原马兴振</t>
        </r>
      </text>
    </comment>
    <comment ref="B111" authorId="0">
      <text>
        <r>
          <rPr>
            <b/>
            <sz val="9"/>
            <color indexed="81"/>
            <rFont val="宋体"/>
            <family val="3"/>
            <charset val="134"/>
          </rPr>
          <t>作者:</t>
        </r>
        <r>
          <rPr>
            <sz val="9"/>
            <color indexed="81"/>
            <rFont val="宋体"/>
            <family val="3"/>
            <charset val="134"/>
          </rPr>
          <t xml:space="preserve">
原铂林眼科医院集团有限公司
</t>
        </r>
      </text>
    </comment>
    <comment ref="B112" authorId="0">
      <text>
        <r>
          <rPr>
            <b/>
            <sz val="9"/>
            <color indexed="81"/>
            <rFont val="宋体"/>
            <family val="3"/>
            <charset val="134"/>
          </rPr>
          <t>作者:</t>
        </r>
        <r>
          <rPr>
            <sz val="9"/>
            <color indexed="81"/>
            <rFont val="宋体"/>
            <family val="3"/>
            <charset val="134"/>
          </rPr>
          <t xml:space="preserve">
原于淼</t>
        </r>
      </text>
    </comment>
    <comment ref="B114" authorId="0">
      <text>
        <r>
          <rPr>
            <b/>
            <sz val="9"/>
            <color indexed="81"/>
            <rFont val="宋体"/>
            <family val="3"/>
            <charset val="134"/>
          </rPr>
          <t>作者:</t>
        </r>
        <r>
          <rPr>
            <sz val="9"/>
            <color indexed="81"/>
            <rFont val="宋体"/>
            <family val="3"/>
            <charset val="134"/>
          </rPr>
          <t xml:space="preserve">
北京自如生活企业管理有限公司</t>
        </r>
      </text>
    </comment>
    <comment ref="B117" authorId="0">
      <text>
        <r>
          <rPr>
            <b/>
            <sz val="9"/>
            <color indexed="81"/>
            <rFont val="宋体"/>
            <family val="3"/>
            <charset val="134"/>
          </rPr>
          <t>作者:</t>
        </r>
        <r>
          <rPr>
            <sz val="9"/>
            <color indexed="81"/>
            <rFont val="宋体"/>
            <family val="3"/>
            <charset val="134"/>
          </rPr>
          <t xml:space="preserve">
原胡焱芮</t>
        </r>
      </text>
    </comment>
    <comment ref="B119" authorId="0">
      <text>
        <r>
          <rPr>
            <b/>
            <sz val="9"/>
            <color indexed="81"/>
            <rFont val="宋体"/>
            <family val="3"/>
            <charset val="134"/>
          </rPr>
          <t>作者:</t>
        </r>
        <r>
          <rPr>
            <sz val="9"/>
            <color indexed="81"/>
            <rFont val="宋体"/>
            <family val="3"/>
            <charset val="134"/>
          </rPr>
          <t xml:space="preserve">
原谢宏儒</t>
        </r>
      </text>
    </comment>
    <comment ref="B121" authorId="0">
      <text>
        <r>
          <rPr>
            <b/>
            <sz val="9"/>
            <color indexed="81"/>
            <rFont val="宋体"/>
            <family val="3"/>
            <charset val="134"/>
          </rPr>
          <t>作者:</t>
        </r>
        <r>
          <rPr>
            <sz val="9"/>
            <color indexed="81"/>
            <rFont val="宋体"/>
            <family val="3"/>
            <charset val="134"/>
          </rPr>
          <t xml:space="preserve">
原王可祥</t>
        </r>
      </text>
    </comment>
    <comment ref="B124" authorId="0">
      <text>
        <r>
          <rPr>
            <b/>
            <sz val="9"/>
            <color indexed="81"/>
            <rFont val="宋体"/>
            <family val="3"/>
            <charset val="134"/>
          </rPr>
          <t>作者:</t>
        </r>
        <r>
          <rPr>
            <sz val="9"/>
            <color indexed="81"/>
            <rFont val="宋体"/>
            <family val="3"/>
            <charset val="134"/>
          </rPr>
          <t xml:space="preserve">
原唐焕杰</t>
        </r>
      </text>
    </comment>
    <comment ref="B126" authorId="0">
      <text>
        <r>
          <rPr>
            <b/>
            <sz val="9"/>
            <color indexed="81"/>
            <rFont val="宋体"/>
            <family val="3"/>
            <charset val="134"/>
          </rPr>
          <t>作者:</t>
        </r>
        <r>
          <rPr>
            <sz val="9"/>
            <color indexed="81"/>
            <rFont val="宋体"/>
            <family val="3"/>
            <charset val="134"/>
          </rPr>
          <t xml:space="preserve">
歌斯蒂（北京）形象设计有限公司</t>
        </r>
      </text>
    </comment>
    <comment ref="B127" authorId="0">
      <text>
        <r>
          <rPr>
            <b/>
            <sz val="9"/>
            <color indexed="81"/>
            <rFont val="宋体"/>
            <family val="3"/>
            <charset val="134"/>
          </rPr>
          <t>作者:</t>
        </r>
        <r>
          <rPr>
            <sz val="9"/>
            <color indexed="81"/>
            <rFont val="宋体"/>
            <family val="3"/>
            <charset val="134"/>
          </rPr>
          <t xml:space="preserve">
原饶昂</t>
        </r>
      </text>
    </comment>
    <comment ref="B129" authorId="0">
      <text>
        <r>
          <rPr>
            <b/>
            <sz val="9"/>
            <color indexed="81"/>
            <rFont val="宋体"/>
            <family val="3"/>
            <charset val="134"/>
          </rPr>
          <t>作者:</t>
        </r>
        <r>
          <rPr>
            <sz val="9"/>
            <color indexed="81"/>
            <rFont val="宋体"/>
            <family val="3"/>
            <charset val="134"/>
          </rPr>
          <t xml:space="preserve">
原贺连浩</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<sst xmlns="http://schemas.openxmlformats.org/spreadsheetml/2006/main" count="11696" uniqueCount="3922">
  <si>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</si>
  <si>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</si>
  <si>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</si>
  <si>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</si>
  <si>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</si>
  <si>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</si>
  <si>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</si>
  <si>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</si>
  <si>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</si>
  <si>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</si>
  <si>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</si>
  <si>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</si>
  <si>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</si>
  <si>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</si>
  <si>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</si>
  <si>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</si>
  <si>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</si>
  <si>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</si>
  <si>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</si>
  <si>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</si>
  <si>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</si>
  <si>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</si>
  <si>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</si>
  <si>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</si>
  <si>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</si>
  <si>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</si>
  <si>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</si>
  <si>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</si>
  <si>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</si>
  <si>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</si>
  <si>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</si>
  <si>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</si>
  <si>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</si>
  <si>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</si>
  <si>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</si>
  <si>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</si>
  <si>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</si>
  <si>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</si>
  <si>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</si>
  <si>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</si>
  <si>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</si>
  <si>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</si>
  <si>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</si>
  <si>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</si>
  <si>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</si>
  <si>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</si>
  <si>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</si>
  <si>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</si>
  <si>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</si>
  <si>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</si>
  <si>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</si>
  <si>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</si>
  <si>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</si>
  <si>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</si>
  <si>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</si>
  <si>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</si>
  <si>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</si>
  <si>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</si>
  <si>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</si>
  <si>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</si>
  <si>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</si>
  <si>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</si>
  <si>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</si>
  <si>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</si>
  <si>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</si>
  <si>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</si>
  <si>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</si>
  <si>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</si>
  <si>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</si>
  <si>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</si>
  <si>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</si>
  <si>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</si>
  <si>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</si>
  <si>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</si>
  <si>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</si>
  <si>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</si>
  <si>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</si>
  <si>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</si>
  <si>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</si>
  <si>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</si>
  <si>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</si>
  <si>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</si>
  <si>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</si>
  <si>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</si>
  <si>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</si>
  <si>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</si>
  <si>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</si>
  <si>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</si>
  <si>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</si>
  <si>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</si>
  <si>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</si>
  <si>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</si>
  <si>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</si>
  <si>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</si>
  <si>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</si>
  <si>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</si>
  <si>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</si>
  <si>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</si>
  <si>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</si>
  <si>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</si>
  <si>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</si>
  <si>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</si>
  <si>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</si>
  <si>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</si>
  <si>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</si>
  <si>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</si>
  <si>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</si>
  <si>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</si>
  <si>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</si>
  <si>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</si>
  <si>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</si>
  <si>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</si>
  <si>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</si>
  <si>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</si>
  <si>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</si>
  <si>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</si>
  <si>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</si>
  <si>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</si>
  <si>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</si>
  <si>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</si>
  <si>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</si>
  <si>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</si>
  <si>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</si>
  <si>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</si>
  <si>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</si>
  <si>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</si>
  <si>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</si>
  <si>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</si>
  <si>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</si>
  <si>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</si>
  <si>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</si>
  <si>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</si>
  <si>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</si>
  <si>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</si>
  <si>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</si>
  <si>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</si>
  <si>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</si>
  <si>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</si>
  <si>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</si>
  <si>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</si>
  <si>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</si>
  <si>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</si>
  <si>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</si>
  <si>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</si>
  <si>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</si>
  <si>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</si>
  <si>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</si>
  <si>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</si>
  <si>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</si>
  <si>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</si>
  <si>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</si>
  <si>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</si>
  <si>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</si>
  <si>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</si>
  <si>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</si>
  <si>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</si>
  <si>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</si>
  <si>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</si>
  <si>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</si>
  <si>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</si>
  <si>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</si>
  <si>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</si>
  <si>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</si>
  <si>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</si>
  <si>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</si>
  <si>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</si>
  <si>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</si>
  <si>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</si>
  <si>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</si>
  <si>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</si>
  <si>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</si>
  <si>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</si>
  <si>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</si>
  <si>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</si>
  <si>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</si>
  <si>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</si>
  <si>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</si>
  <si>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</si>
  <si>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</si>
  <si>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</si>
  <si>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</si>
  <si>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</si>
  <si>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</si>
  <si>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</si>
  <si>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</si>
  <si>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</si>
  <si>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</si>
  <si>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</si>
  <si>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</si>
  <si>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</si>
  <si>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</si>
  <si>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</si>
  <si>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</si>
  <si>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</si>
  <si>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</si>
  <si>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</si>
  <si>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</si>
  <si>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</si>
  <si>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</si>
  <si>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</si>
  <si>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</si>
  <si>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</si>
  <si>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</si>
  <si>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</si>
  <si>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</si>
  <si>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</si>
  <si>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</si>
  <si>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</si>
  <si>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</si>
  <si>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</si>
  <si>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</si>
  <si>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</si>
  <si>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</si>
  <si>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</si>
  <si>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</si>
  <si>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</si>
  <si>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</si>
  <si>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</si>
  <si>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</si>
  <si>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</si>
  <si>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</si>
  <si>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</si>
  <si>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</si>
  <si>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</si>
  <si>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</si>
  <si>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</si>
  <si>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</si>
  <si>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</si>
  <si>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</si>
  <si>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</si>
  <si>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</si>
  <si>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</si>
  <si>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</si>
  <si>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</si>
  <si>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</si>
  <si>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</si>
  <si>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</si>
  <si>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</si>
  <si>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</si>
  <si>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</si>
  <si>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</si>
  <si>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</si>
  <si>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</si>
  <si>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</si>
  <si>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</si>
  <si>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</si>
  <si>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</si>
  <si>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</si>
  <si>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</si>
  <si>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</si>
  <si>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</si>
  <si>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</si>
  <si>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</si>
  <si>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</si>
  <si>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</si>
  <si>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</si>
  <si>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</si>
  <si>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</si>
  <si>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</si>
  <si>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</si>
  <si>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</si>
  <si>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</si>
  <si>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</si>
  <si>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</si>
  <si>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</si>
  <si>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</si>
  <si>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</si>
  <si>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</si>
  <si>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</si>
  <si>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</si>
  <si>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</si>
  <si>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</si>
  <si>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</si>
  <si>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</si>
  <si>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</si>
  <si>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</si>
  <si>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</si>
  <si>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</si>
  <si>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</si>
  <si>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</si>
  <si>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</si>
  <si>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</si>
  <si>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</si>
  <si>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</si>
  <si>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</si>
  <si>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</si>
  <si>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</si>
  <si>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</si>
  <si>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</si>
  <si>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</si>
  <si>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</si>
  <si>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</si>
  <si>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</si>
  <si>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</si>
  <si>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</si>
  <si>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</si>
  <si>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</si>
  <si>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</si>
  <si>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</si>
  <si>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</si>
  <si>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</si>
  <si>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</si>
  <si>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</si>
  <si>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</si>
  <si>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</si>
  <si>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</si>
  <si>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</si>
  <si>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</si>
  <si>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</si>
  <si>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</si>
  <si>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</si>
  <si>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</si>
  <si>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</si>
  <si>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</si>
  <si>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</si>
  <si>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</si>
  <si>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</si>
  <si>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</si>
  <si>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</si>
  <si>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</si>
  <si>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</si>
  <si>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</si>
  <si>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</si>
  <si>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</si>
  <si>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</si>
  <si>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</si>
  <si>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</si>
  <si>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</si>
  <si>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</si>
  <si>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</si>
  <si>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</si>
  <si>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</si>
  <si>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</si>
  <si>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</si>
  <si>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</si>
  <si>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</si>
  <si>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</si>
  <si>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</si>
  <si>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</si>
  <si>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</si>
  <si>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</si>
  <si>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</si>
  <si>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</si>
  <si>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</si>
  <si>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</si>
  <si>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</si>
  <si>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</si>
  <si>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</si>
  <si>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</si>
  <si>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</si>
  <si>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</si>
  <si>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</si>
  <si>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</si>
  <si>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</si>
  <si>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</si>
  <si>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</si>
  <si>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</si>
  <si>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</si>
  <si>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</si>
  <si>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</si>
  <si>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</si>
  <si>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</si>
  <si>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</si>
  <si>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</si>
  <si>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</si>
  <si>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</si>
  <si>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</si>
  <si>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</si>
  <si>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</si>
  <si>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</si>
  <si>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</si>
  <si>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</si>
  <si>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</si>
  <si>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</si>
  <si>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</si>
  <si>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</si>
  <si>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</si>
  <si>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</si>
  <si>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</si>
  <si>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</si>
  <si>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</si>
  <si>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</si>
  <si>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</si>
  <si>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</si>
  <si>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</si>
  <si>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</si>
  <si>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</si>
  <si>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</si>
  <si>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</si>
  <si>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</si>
  <si>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</si>
  <si>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</si>
  <si>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</si>
  <si>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</si>
  <si>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</si>
  <si>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</si>
  <si>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</si>
  <si>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</si>
  <si>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</si>
  <si>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</si>
  <si>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</si>
  <si>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</si>
  <si>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</si>
  <si>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</si>
  <si>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</si>
  <si>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</si>
  <si>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</si>
  <si>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</si>
  <si>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</si>
  <si>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</si>
  <si>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</si>
  <si>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</si>
  <si>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</si>
  <si>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</si>
  <si>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</si>
  <si>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</si>
  <si>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</si>
  <si>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</si>
  <si>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</si>
  <si>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</si>
  <si>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</si>
  <si>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</si>
  <si>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</si>
  <si>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</si>
  <si>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</si>
  <si>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</si>
  <si>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</si>
  <si>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</si>
  <si>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</si>
  <si>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</si>
  <si>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</si>
  <si>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</si>
  <si>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</si>
  <si>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</si>
  <si>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</si>
  <si>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</si>
  <si>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</si>
  <si>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</si>
  <si>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</si>
  <si>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</si>
  <si>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</si>
  <si>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</si>
  <si>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</si>
  <si>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</si>
  <si>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</si>
  <si>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</si>
  <si>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</si>
  <si>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</si>
  <si>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</si>
  <si>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</si>
  <si>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</si>
  <si>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</si>
  <si>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</si>
  <si>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</si>
  <si>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</si>
  <si>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</si>
  <si>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</si>
  <si>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</si>
  <si>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</si>
  <si>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</si>
  <si>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</si>
  <si>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</si>
  <si>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</si>
  <si>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</si>
  <si>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</si>
  <si>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</si>
  <si>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</si>
  <si>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</si>
  <si>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</si>
  <si>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</si>
  <si>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</si>
  <si>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</si>
  <si>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</si>
  <si>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</si>
  <si>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</si>
  <si>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</si>
  <si>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</si>
  <si>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</si>
  <si>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</si>
  <si>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</si>
  <si>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</si>
  <si>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</si>
  <si>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</si>
  <si>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</si>
  <si>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</si>
  <si>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</si>
  <si>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</si>
  <si>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</si>
  <si>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</si>
  <si>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</si>
  <si>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</si>
  <si>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</si>
  <si>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</si>
  <si>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</si>
  <si>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</si>
  <si>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</si>
  <si>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</si>
  <si>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</si>
  <si>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</si>
  <si>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</si>
  <si>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</si>
  <si>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</si>
  <si>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</si>
  <si>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</si>
  <si>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</si>
  <si>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</si>
  <si>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</si>
  <si>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</si>
  <si>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</si>
  <si>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</si>
  <si>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</si>
  <si>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</si>
  <si>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</si>
  <si>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</si>
  <si>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</si>
  <si>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</si>
  <si>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</si>
  <si>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</si>
  <si>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</si>
  <si>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</si>
  <si>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</si>
  <si>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</si>
  <si>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</si>
  <si>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</si>
  <si>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</si>
  <si>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</si>
  <si>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</si>
  <si>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</si>
  <si>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</si>
  <si>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</si>
  <si>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</si>
  <si>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</si>
  <si>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</si>
  <si>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</si>
  <si>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</si>
  <si>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</si>
  <si>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</si>
  <si>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</si>
  <si>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</si>
  <si>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</si>
  <si>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</si>
  <si>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</si>
  <si>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</si>
  <si>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</si>
  <si>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</si>
  <si>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</si>
  <si>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</si>
  <si>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</si>
  <si>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</si>
  <si>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</si>
  <si>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</si>
  <si>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</si>
  <si>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</si>
  <si>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</si>
  <si>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</si>
  <si>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</si>
  <si>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</si>
  <si>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</si>
  <si>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</si>
  <si>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</si>
  <si>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</si>
  <si>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</si>
  <si>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</si>
  <si>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</si>
  <si>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</si>
  <si>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</si>
  <si>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</si>
  <si>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</si>
  <si>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</si>
  <si>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</si>
  <si>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</si>
  <si>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</si>
  <si>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</si>
  <si>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</si>
  <si>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</si>
  <si>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</si>
  <si>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</si>
  <si>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</si>
  <si>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</si>
  <si>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</si>
  <si>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</si>
  <si>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</si>
  <si>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</si>
  <si>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</si>
  <si>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</si>
  <si>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</si>
  <si>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</si>
  <si>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</si>
  <si>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</si>
  <si>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</si>
  <si>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</si>
  <si>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</si>
  <si>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</si>
  <si>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</si>
  <si>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</si>
  <si>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</si>
  <si>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</si>
  <si>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</si>
  <si>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</si>
  <si>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</si>
  <si>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</si>
  <si>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</si>
  <si>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</si>
  <si>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</si>
  <si>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</si>
  <si>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</si>
  <si>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</si>
  <si>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</si>
  <si>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</si>
  <si>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</si>
  <si>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</si>
  <si>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</si>
  <si>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</si>
  <si>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</si>
  <si>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</si>
  <si>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</si>
  <si>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</si>
  <si>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</si>
  <si>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</si>
  <si>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</si>
  <si>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</si>
  <si>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</si>
  <si>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</si>
  <si>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</si>
  <si>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</si>
  <si>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</si>
  <si>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</si>
  <si>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</si>
  <si>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</si>
  <si>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</si>
  <si>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</si>
  <si>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</si>
  <si>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</si>
  <si>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</si>
  <si>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</si>
  <si>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</si>
  <si>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</si>
  <si>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</si>
  <si>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</si>
  <si>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</si>
  <si>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</si>
  <si>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</si>
  <si>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</si>
  <si>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</si>
  <si>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</si>
  <si>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</si>
  <si>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</si>
  <si>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</si>
  <si>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</si>
  <si>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</si>
  <si>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</si>
  <si>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</si>
  <si>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</si>
  <si>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</si>
  <si>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</si>
  <si>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</si>
  <si>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</si>
  <si>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</si>
  <si>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</si>
  <si>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</si>
  <si>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</si>
  <si>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</si>
  <si>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</si>
  <si>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</si>
  <si>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</si>
  <si>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</si>
  <si>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</si>
  <si>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</si>
  <si>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</si>
  <si>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</si>
  <si>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</si>
  <si>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</si>
  <si>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</si>
  <si>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</si>
  <si>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</si>
  <si>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</si>
  <si>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</si>
  <si>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</si>
  <si>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</si>
  <si>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</si>
  <si>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</si>
  <si>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</si>
  <si>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</si>
  <si>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</si>
  <si>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</si>
  <si>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</si>
  <si>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</si>
  <si>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</si>
  <si>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</si>
  <si>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</si>
  <si>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</si>
  <si>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</si>
  <si>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</si>
  <si>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</si>
  <si>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</si>
  <si>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</si>
  <si>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</si>
  <si>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</si>
  <si>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</si>
  <si>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</si>
  <si>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</si>
  <si>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</si>
  <si>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</si>
  <si>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</si>
  <si>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</si>
  <si>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</si>
  <si>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</si>
  <si>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</si>
  <si>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</si>
  <si>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</si>
  <si>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</si>
  <si>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</si>
  <si>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</si>
  <si>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</si>
  <si>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</si>
  <si>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</si>
  <si>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</si>
  <si>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</si>
  <si>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</si>
  <si>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</si>
  <si>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</si>
  <si>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</si>
  <si>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</si>
  <si>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</si>
  <si>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</si>
  <si>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</si>
  <si>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</si>
  <si>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</si>
  <si>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</si>
  <si>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</si>
  <si>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</si>
  <si>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</si>
  <si>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</si>
  <si>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</si>
  <si>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</si>
  <si>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</si>
  <si>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</si>
  <si>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</si>
  <si>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</si>
  <si>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</si>
  <si>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</si>
  <si>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</si>
  <si>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</si>
  <si>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</si>
  <si>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</si>
  <si>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</si>
  <si>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</si>
  <si>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</si>
  <si>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</si>
  <si>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</si>
  <si>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</si>
  <si>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</si>
  <si>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</si>
  <si>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</si>
  <si>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</si>
  <si>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</si>
  <si>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</si>
  <si>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</si>
  <si>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</si>
  <si>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</si>
  <si>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</si>
  <si>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</si>
  <si>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</si>
  <si>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</si>
  <si>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</si>
  <si>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</si>
  <si>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</si>
  <si>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</si>
  <si>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</si>
  <si>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</si>
  <si>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</si>
  <si>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</si>
  <si>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</si>
  <si>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</si>
  <si>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</si>
  <si>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</si>
  <si>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</si>
  <si>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</si>
  <si>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</si>
  <si>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</si>
  <si>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</si>
  <si>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</si>
  <si>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</si>
  <si>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</si>
  <si>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</si>
  <si>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</si>
  <si>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</si>
  <si>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</si>
  <si>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</si>
  <si>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</si>
  <si>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</si>
  <si>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</si>
  <si>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</si>
  <si>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</si>
  <si>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</si>
  <si>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</si>
  <si>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</si>
  <si>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</si>
  <si>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</si>
  <si>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</si>
  <si>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</si>
  <si>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</si>
  <si>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</si>
  <si>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</si>
  <si>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</si>
  <si>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</si>
  <si>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</si>
  <si>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</si>
  <si>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</si>
  <si>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</si>
  <si>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</si>
  <si>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</si>
  <si>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</si>
  <si>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</si>
  <si>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</si>
  <si>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</si>
  <si>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</si>
  <si>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</si>
  <si>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</si>
  <si>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</si>
  <si>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</si>
  <si>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</si>
  <si>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</si>
  <si>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</si>
  <si>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</si>
  <si>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</si>
  <si>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</si>
  <si>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</si>
  <si>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</si>
  <si>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</si>
  <si>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</si>
  <si>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</si>
  <si>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</si>
  <si>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</si>
  <si>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</si>
  <si>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</si>
  <si>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</si>
  <si>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</si>
  <si>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</si>
  <si>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</si>
  <si>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</si>
  <si>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</si>
  <si>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</si>
  <si>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</si>
  <si>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</si>
  <si>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</si>
  <si>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</si>
  <si>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</si>
  <si>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</si>
  <si>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</si>
  <si>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</si>
  <si>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</si>
  <si>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</si>
  <si>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</si>
  <si>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</si>
  <si>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</si>
  <si>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</si>
  <si>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</si>
  <si>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</si>
  <si>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</si>
  <si>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</si>
  <si>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</si>
  <si>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</si>
  <si>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</si>
  <si>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</si>
  <si>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</si>
  <si>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</si>
  <si>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</si>
  <si>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</si>
  <si>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</si>
  <si>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</si>
  <si>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</si>
  <si>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</si>
  <si>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</si>
  <si>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</si>
  <si>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</si>
  <si>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</si>
  <si>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</si>
  <si>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</si>
  <si>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</si>
  <si>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</si>
  <si>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</si>
  <si>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</si>
  <si>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</si>
  <si>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</si>
  <si>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</si>
  <si>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</si>
  <si>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</si>
  <si>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</si>
  <si>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</si>
  <si>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</si>
  <si>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</si>
  <si>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</si>
  <si>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</si>
  <si>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</si>
  <si>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</si>
  <si>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</si>
  <si>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</si>
  <si>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</si>
  <si>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</si>
  <si>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</si>
  <si>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</si>
  <si>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</si>
  <si>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</si>
  <si>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</si>
  <si>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</si>
  <si>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</si>
  <si>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</si>
  <si>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</si>
  <si>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</si>
  <si>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</si>
  <si>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</si>
  <si>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</si>
  <si>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</si>
  <si>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</si>
  <si>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</si>
  <si>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</si>
  <si>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</si>
  <si>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</si>
  <si>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</si>
  <si>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</si>
  <si>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</si>
  <si>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</si>
  <si>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</si>
  <si>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</si>
  <si>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</si>
  <si>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</si>
  <si>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</si>
  <si>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</si>
  <si>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</si>
  <si>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</si>
  <si>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</si>
  <si>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</si>
  <si>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</si>
  <si>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</si>
  <si>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</si>
  <si>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</si>
  <si>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</si>
  <si>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</si>
  <si>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</si>
  <si>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</si>
  <si>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</si>
  <si>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</si>
  <si>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</si>
  <si>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</si>
  <si>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</si>
  <si>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</si>
  <si>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</si>
  <si>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</si>
  <si>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</si>
  <si>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</si>
  <si>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</si>
  <si>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</si>
  <si>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</si>
  <si>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</si>
  <si>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</si>
  <si>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</si>
  <si>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</si>
  <si>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</si>
  <si>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</si>
  <si>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</si>
  <si>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</si>
  <si>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</si>
  <si>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</si>
  <si>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</si>
  <si>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</si>
  <si>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</si>
  <si>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</si>
  <si>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</si>
  <si>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</si>
  <si>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</si>
  <si>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</si>
  <si>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</si>
  <si>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</si>
  <si>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</si>
  <si>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</si>
  <si>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</si>
  <si>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</si>
  <si>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</si>
  <si>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</si>
  <si>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</si>
  <si>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</si>
  <si>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</si>
  <si>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</si>
  <si>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</si>
  <si>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</si>
  <si>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</si>
  <si>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</si>
  <si>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</si>
  <si>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</si>
  <si>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</si>
  <si>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</si>
  <si>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</si>
  <si>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</si>
  <si>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</si>
  <si>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</si>
  <si>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</si>
  <si>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</si>
  <si>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</si>
  <si>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</si>
  <si>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</si>
  <si>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</si>
  <si>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</si>
  <si>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</si>
  <si>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</si>
  <si>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</si>
  <si>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</si>
  <si>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</si>
  <si>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</si>
  <si>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</si>
  <si>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</si>
  <si>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</si>
  <si>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</si>
  <si>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</si>
  <si>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</si>
  <si>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</si>
  <si>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</si>
  <si>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</si>
  <si>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</si>
  <si>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</si>
  <si>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</si>
  <si>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</si>
  <si>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</si>
  <si>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</si>
  <si>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</si>
  <si>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</si>
  <si>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</si>
  <si>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</si>
  <si>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</si>
  <si>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</si>
  <si>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</si>
  <si>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</si>
  <si>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</si>
  <si>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</si>
  <si>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</si>
  <si>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</si>
  <si>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</si>
  <si>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</si>
  <si>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</si>
  <si>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</si>
  <si>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</si>
  <si>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</si>
  <si>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</si>
  <si>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</si>
  <si>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</si>
  <si>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</si>
  <si>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</si>
  <si>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</si>
  <si>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</si>
  <si>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</si>
  <si>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</si>
  <si>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</si>
  <si>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</si>
  <si>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</si>
  <si>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</si>
  <si>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</si>
  <si>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</si>
  <si>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</si>
  <si>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</si>
  <si>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</si>
  <si>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</si>
  <si>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</si>
  <si>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</si>
  <si>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</si>
  <si>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</si>
  <si>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</si>
  <si>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</si>
  <si>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</si>
  <si>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</si>
  <si>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</si>
  <si>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</si>
  <si>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</si>
  <si>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</si>
  <si>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</si>
  <si>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</si>
  <si>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</si>
  <si>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</si>
  <si>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</si>
  <si>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</si>
  <si>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</si>
  <si>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</si>
  <si>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</si>
  <si>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</si>
  <si>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</si>
  <si>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</si>
  <si>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</si>
  <si>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</si>
  <si>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</si>
  <si>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</si>
  <si>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</si>
  <si>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</si>
  <si>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</si>
  <si>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</si>
  <si>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</si>
  <si>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</si>
  <si>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</si>
  <si>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</si>
  <si>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</si>
  <si>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</si>
  <si>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</si>
  <si>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</si>
  <si>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</si>
  <si>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</si>
  <si>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</si>
  <si>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</si>
  <si>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</si>
  <si>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</si>
  <si>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</si>
  <si>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</si>
  <si>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</si>
  <si>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</si>
  <si>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</si>
  <si>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</si>
  <si>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</si>
  <si>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</si>
  <si>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</si>
  <si>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</si>
  <si>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</si>
  <si>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</si>
  <si>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</si>
  <si>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</si>
  <si>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</si>
  <si>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</si>
  <si>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</si>
  <si>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</si>
  <si>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</si>
  <si>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</si>
  <si>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</si>
  <si>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</si>
  <si>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</si>
  <si>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</si>
  <si>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</si>
  <si>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</si>
  <si>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</si>
  <si>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</si>
  <si>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</si>
  <si>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</si>
  <si>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</si>
  <si>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</si>
  <si>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</si>
  <si>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</si>
  <si>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</si>
  <si>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</si>
  <si>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</si>
  <si>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</si>
  <si>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</si>
  <si>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</si>
  <si>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</si>
  <si>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</si>
  <si>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</si>
  <si>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</si>
  <si>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</si>
  <si>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</si>
  <si>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</si>
  <si>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</si>
  <si>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</si>
  <si>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</si>
  <si>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</si>
  <si>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</si>
  <si>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</si>
  <si>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</si>
  <si>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</si>
  <si>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</si>
  <si>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</si>
  <si>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</si>
  <si>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</si>
  <si>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</si>
  <si>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</si>
  <si>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</si>
  <si>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</si>
  <si>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</si>
  <si>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</si>
  <si>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</si>
  <si>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</si>
  <si>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</si>
  <si>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</si>
  <si>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</si>
  <si>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</si>
  <si>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</si>
  <si>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</si>
  <si>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</si>
  <si>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</si>
  <si>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</si>
  <si>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</si>
  <si>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</si>
  <si>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</si>
  <si>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</si>
  <si>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</si>
  <si>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</si>
  <si>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</si>
  <si>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</si>
  <si>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</si>
  <si>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</si>
  <si>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</si>
  <si>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</si>
  <si>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</si>
  <si>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</si>
  <si>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</si>
  <si>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</si>
  <si>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</si>
  <si>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</si>
  <si>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</si>
  <si>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</si>
  <si>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</si>
  <si>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</si>
  <si>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</si>
  <si>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</si>
  <si>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</si>
  <si>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</si>
  <si>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</si>
  <si>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</si>
  <si>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</si>
  <si>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</si>
  <si>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</si>
  <si>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</si>
  <si>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</si>
  <si>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</si>
  <si>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</si>
  <si>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</si>
  <si>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</si>
  <si>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</si>
  <si>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</si>
  <si>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</si>
  <si>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</si>
  <si>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</si>
  <si>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</si>
  <si>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</si>
  <si>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</si>
  <si>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</si>
  <si>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</si>
  <si>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</si>
  <si>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</si>
  <si>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</si>
  <si>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</si>
  <si>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</si>
  <si>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</si>
  <si>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</si>
  <si>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</si>
  <si>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</si>
  <si>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</si>
  <si>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</si>
  <si>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</si>
  <si>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</si>
  <si>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</si>
  <si>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</si>
  <si>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</si>
  <si>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</si>
  <si>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</si>
  <si>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</si>
  <si>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</si>
  <si>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</si>
  <si>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</si>
  <si>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</si>
  <si>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</si>
  <si>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</si>
  <si>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</si>
  <si>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</si>
  <si>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</si>
  <si>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</si>
  <si>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</si>
  <si>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</si>
  <si>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</si>
  <si>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</si>
  <si>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</si>
  <si>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</si>
  <si>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</si>
  <si>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</si>
  <si>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</si>
  <si>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</si>
  <si>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</si>
  <si>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</si>
  <si>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</si>
  <si>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</si>
  <si>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</si>
  <si>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</si>
  <si>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</si>
  <si>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</si>
  <si>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</si>
  <si>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</si>
  <si>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</si>
  <si>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</si>
  <si>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</si>
  <si>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</si>
  <si>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</si>
  <si>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</si>
  <si>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</si>
  <si>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</si>
  <si>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</si>
  <si>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</si>
  <si>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</si>
  <si>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</si>
  <si>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</si>
  <si>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</si>
  <si>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</si>
  <si>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</si>
  <si>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</si>
  <si>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</si>
  <si>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</si>
  <si>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</si>
  <si>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</si>
  <si>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</si>
  <si>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</si>
  <si>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</si>
  <si>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</si>
  <si>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</si>
  <si>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</si>
  <si>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</si>
  <si>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</si>
  <si>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</si>
  <si>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</si>
  <si>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</si>
  <si>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</si>
  <si>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</si>
  <si>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</si>
  <si>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</si>
  <si>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</si>
  <si>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</si>
  <si>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</si>
  <si>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</si>
  <si>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</si>
  <si>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</si>
  <si>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</si>
  <si>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</si>
  <si>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</si>
  <si>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</si>
  <si>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</si>
  <si>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</si>
  <si>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</si>
  <si>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</si>
  <si>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</si>
  <si>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</si>
  <si>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</si>
  <si>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</si>
  <si>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</si>
  <si>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</si>
  <si>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</si>
  <si>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</si>
  <si>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</si>
  <si>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</si>
  <si>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</si>
  <si>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</si>
  <si>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</si>
  <si>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</si>
  <si>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</si>
  <si>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</si>
  <si>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</si>
  <si>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</si>
  <si>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</si>
  <si>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</si>
  <si>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</si>
  <si>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</si>
  <si>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</si>
  <si>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</si>
  <si>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</si>
  <si>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</si>
  <si>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</si>
  <si>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</si>
  <si>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</si>
  <si>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</si>
  <si>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</si>
  <si>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</si>
  <si>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</si>
  <si>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</si>
  <si>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</si>
  <si>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</si>
  <si>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</si>
  <si>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</si>
  <si>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</si>
  <si>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</si>
  <si>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</si>
  <si>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</si>
  <si>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</si>
  <si>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</si>
  <si>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</si>
  <si>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</si>
  <si>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</si>
  <si>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</si>
  <si>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</si>
  <si>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</si>
  <si>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</si>
  <si>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</si>
  <si>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</si>
  <si>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</si>
  <si>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</si>
  <si>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</si>
  <si>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</si>
  <si>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</si>
  <si>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</si>
  <si>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</si>
  <si>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</si>
  <si>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</si>
  <si>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</si>
  <si>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</si>
  <si>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</si>
  <si>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</si>
  <si>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</si>
  <si>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</si>
  <si>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</si>
  <si>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</si>
  <si>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</si>
  <si>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</si>
  <si>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</si>
  <si>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</si>
  <si>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</si>
  <si>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</si>
  <si>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</si>
  <si>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</si>
  <si>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</si>
  <si>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</si>
  <si>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</si>
  <si>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</si>
  <si>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</si>
  <si>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</si>
  <si>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</si>
  <si>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</si>
  <si>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</si>
  <si>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</si>
  <si>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</si>
  <si>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</si>
  <si>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</si>
  <si>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</si>
  <si>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</si>
  <si>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</si>
  <si>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</si>
  <si>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</si>
  <si>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</si>
  <si>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</si>
  <si>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</si>
  <si>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</si>
  <si>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</si>
  <si>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</si>
  <si>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</si>
  <si>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</si>
  <si>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</si>
  <si>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</si>
  <si>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</si>
  <si>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</si>
  <si>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</si>
  <si>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</si>
  <si>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</si>
  <si>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</si>
  <si>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</si>
  <si>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</si>
  <si>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</si>
  <si>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</si>
  <si>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</si>
  <si>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</si>
  <si>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</si>
  <si>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</si>
  <si>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</si>
  <si>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</si>
  <si>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</si>
  <si>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</si>
  <si>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</si>
  <si>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</si>
  <si>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</si>
  <si>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</si>
  <si>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</si>
  <si>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</si>
  <si>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</si>
  <si>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</si>
  <si>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</si>
  <si>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</si>
  <si>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</si>
  <si>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</si>
  <si>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</si>
  <si>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</si>
  <si>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</si>
  <si>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</si>
  <si>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</si>
  <si>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</si>
  <si>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</si>
  <si>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</si>
  <si>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</si>
  <si>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</si>
  <si>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</si>
  <si>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</si>
  <si>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</si>
  <si>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</si>
  <si>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</si>
  <si>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</si>
  <si>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</si>
  <si>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</si>
  <si>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</si>
  <si>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</si>
  <si>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</si>
  <si>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</si>
  <si>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</si>
  <si>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</si>
  <si>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</si>
  <si>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</si>
  <si>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</si>
  <si>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</si>
  <si>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</si>
  <si>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</si>
  <si>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</si>
  <si>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</si>
  <si>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</si>
  <si>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</si>
  <si>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</si>
  <si>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</si>
  <si>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</si>
  <si>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</si>
  <si>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</si>
  <si>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</si>
  <si>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</si>
  <si>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</si>
  <si>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</si>
  <si>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</si>
  <si>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</si>
  <si>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</si>
  <si>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</si>
  <si>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</si>
  <si>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</si>
  <si>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</si>
  <si>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</si>
  <si>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</si>
  <si>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</si>
  <si>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</si>
  <si>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</si>
  <si>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</si>
  <si>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</si>
  <si>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</si>
  <si>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</si>
  <si>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</si>
  <si>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</si>
  <si>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</si>
  <si>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</si>
  <si>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</si>
  <si>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</si>
  <si>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</si>
  <si>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</si>
  <si>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</si>
  <si>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</si>
  <si>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</si>
  <si>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</si>
  <si>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</si>
  <si>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</si>
  <si>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</si>
  <si>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</si>
  <si>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</si>
  <si>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</si>
  <si>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</si>
  <si>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</si>
  <si>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</si>
  <si>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</si>
  <si>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</si>
  <si>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</si>
  <si>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</si>
  <si>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</si>
  <si>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</si>
  <si>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</si>
  <si>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</si>
  <si>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</si>
  <si>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</si>
  <si>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</si>
  <si>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</si>
  <si>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</si>
  <si>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</si>
  <si>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</si>
  <si>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</si>
  <si>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</si>
  <si>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</si>
  <si>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</si>
  <si>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</si>
  <si>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</si>
  <si>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</si>
  <si>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</si>
  <si>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</si>
  <si>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</si>
  <si>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</si>
  <si>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</si>
  <si>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</si>
  <si>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</si>
  <si>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</si>
  <si>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</si>
  <si>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</si>
  <si>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</si>
  <si>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</si>
  <si>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</si>
  <si>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</si>
  <si>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</si>
  <si>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</si>
  <si>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</si>
  <si>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</si>
  <si>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</si>
  <si>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</si>
  <si>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</si>
  <si>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</si>
  <si>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</si>
  <si>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</si>
  <si>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</si>
  <si>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</si>
  <si>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</si>
  <si>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</si>
  <si>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</si>
  <si>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</si>
  <si>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</si>
  <si>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</si>
  <si>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</si>
  <si>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</si>
  <si>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</si>
  <si>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</si>
  <si>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</si>
  <si>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</si>
  <si>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</si>
  <si>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</si>
  <si>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</si>
  <si>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</si>
  <si>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</si>
  <si>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</si>
  <si>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</si>
  <si>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</si>
  <si>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</si>
  <si>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</si>
  <si>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</si>
  <si>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</si>
  <si>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</si>
  <si>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</si>
  <si>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</si>
  <si>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</si>
  <si>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</si>
  <si>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</si>
  <si>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</si>
  <si>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</si>
  <si>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</si>
  <si>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</si>
  <si>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</si>
  <si>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</si>
  <si>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</si>
  <si>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</si>
  <si>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</si>
  <si>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</si>
  <si>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</si>
  <si>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</si>
  <si>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</si>
  <si>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</si>
  <si>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</si>
  <si>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</si>
  <si>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</si>
  <si>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</si>
  <si>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</si>
  <si>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</si>
  <si>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</si>
  <si>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</si>
  <si>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</si>
  <si>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</si>
  <si>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</si>
  <si>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</si>
  <si>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</si>
  <si>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</si>
  <si>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</si>
  <si>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</si>
  <si>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</si>
  <si>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</si>
  <si>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</si>
  <si>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</si>
  <si>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</si>
  <si>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</si>
  <si>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</si>
  <si>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</si>
  <si>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</si>
  <si>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</si>
  <si>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</si>
  <si>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</si>
  <si>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</si>
  <si>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</si>
  <si>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</si>
  <si>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</si>
  <si>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</si>
  <si>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</si>
  <si>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</si>
  <si>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</si>
  <si>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</si>
  <si>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</si>
  <si>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</si>
  <si>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</si>
  <si>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</si>
  <si>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</si>
  <si>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</si>
  <si>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</si>
  <si>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</si>
  <si>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</si>
  <si>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</si>
  <si>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</si>
  <si>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</si>
  <si>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</si>
  <si>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</si>
  <si>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</si>
  <si>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</si>
  <si>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</si>
  <si>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</si>
  <si>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</si>
  <si>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</si>
  <si>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</si>
  <si>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</si>
  <si>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</si>
  <si>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</si>
  <si>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</si>
  <si>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</si>
  <si>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</si>
  <si>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</si>
  <si>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</si>
  <si>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</si>
  <si>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</si>
  <si>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</si>
  <si>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</si>
  <si>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</si>
  <si>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</si>
  <si>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</si>
  <si>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</si>
  <si>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</si>
  <si>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</si>
  <si>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</si>
  <si>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</si>
  <si>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</si>
  <si>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</si>
  <si>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</si>
  <si>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</si>
  <si>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</si>
  <si>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</si>
  <si>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</si>
  <si>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</si>
  <si>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</si>
  <si>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</si>
  <si>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</si>
  <si>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</si>
  <si>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</si>
  <si>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</si>
  <si>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</si>
  <si>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</si>
  <si>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</si>
  <si>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</si>
  <si>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</si>
  <si>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</si>
  <si>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</si>
  <si>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</si>
  <si>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</si>
  <si>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</si>
  <si>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</si>
  <si>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</si>
  <si>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</si>
  <si>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</si>
  <si>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</si>
  <si>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</si>
  <si>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</si>
  <si>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</si>
  <si>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</si>
  <si>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</si>
  <si>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</si>
  <si>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</si>
  <si>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</si>
  <si>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</si>
  <si>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</si>
  <si>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</si>
  <si>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</si>
  <si>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</si>
  <si>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</si>
  <si>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</si>
  <si>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</si>
  <si>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</si>
  <si>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</si>
  <si>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</si>
  <si>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</si>
  <si>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</si>
  <si>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</si>
  <si>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</si>
  <si>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</si>
  <si>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</si>
  <si>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</si>
  <si>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</si>
  <si>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</si>
  <si>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</si>
  <si>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</si>
  <si>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</si>
  <si>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</si>
  <si>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</si>
  <si>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</si>
  <si>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</si>
  <si>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</si>
  <si>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</si>
  <si>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</si>
  <si>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</si>
  <si>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</si>
  <si>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</si>
  <si>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</si>
  <si>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</si>
  <si>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</si>
  <si>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</si>
  <si>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</si>
  <si>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</si>
  <si>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</si>
  <si>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</si>
  <si>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</si>
  <si>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</si>
  <si>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</si>
  <si>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</si>
  <si>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</si>
  <si>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</si>
  <si>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</si>
  <si>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</si>
  <si>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</si>
  <si>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</si>
  <si>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</si>
  <si>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</si>
  <si>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</si>
  <si>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</si>
  <si>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</si>
  <si>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</si>
  <si>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</si>
  <si>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</si>
  <si>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</si>
  <si>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</si>
  <si>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</si>
  <si>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</si>
  <si>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</si>
  <si>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</si>
  <si>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</si>
  <si>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</si>
  <si>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</si>
  <si>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</si>
  <si>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</si>
  <si>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</si>
  <si>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</si>
  <si>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</si>
  <si>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</si>
  <si>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</si>
  <si>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</si>
  <si>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</si>
  <si>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</si>
  <si>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</si>
  <si>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</si>
  <si>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</si>
  <si>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</si>
  <si>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</si>
  <si>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</si>
  <si>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</si>
  <si>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</si>
  <si>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</si>
  <si>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</si>
  <si>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</si>
  <si>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</si>
  <si>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</si>
  <si>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</si>
  <si>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</si>
  <si>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</si>
  <si>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</si>
  <si>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</si>
  <si>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</si>
  <si>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</si>
  <si>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</si>
  <si>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</si>
  <si>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</si>
  <si>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</si>
  <si>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</si>
  <si>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</si>
  <si>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</si>
  <si>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</si>
  <si>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</si>
  <si>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</si>
  <si>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</si>
  <si>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</si>
  <si>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</si>
  <si>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</si>
  <si>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</si>
  <si>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</si>
  <si>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</si>
  <si>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</si>
  <si>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</si>
  <si>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</si>
  <si>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</si>
  <si>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</si>
  <si>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</si>
  <si>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</si>
  <si>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</si>
  <si>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</si>
  <si>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</si>
  <si>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</si>
  <si>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</si>
  <si>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</si>
  <si>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</si>
  <si>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</si>
  <si>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</si>
  <si>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</si>
  <si>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</si>
  <si>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</si>
  <si>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</si>
  <si>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</si>
  <si>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</si>
  <si>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</si>
  <si>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</si>
  <si>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</si>
  <si>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</si>
  <si>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</si>
  <si>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</si>
  <si>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</si>
  <si>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</si>
  <si>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</si>
  <si>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</si>
  <si>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</si>
  <si>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</si>
  <si>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</si>
  <si>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</si>
  <si>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</si>
  <si>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</si>
  <si>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</si>
  <si>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</si>
  <si>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</si>
  <si>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</si>
  <si>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</si>
  <si>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</si>
  <si>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</si>
  <si>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</si>
  <si>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</si>
  <si>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</si>
  <si>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</si>
  <si>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</si>
  <si>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</si>
  <si>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</si>
  <si>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</si>
  <si>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</si>
  <si>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</si>
  <si>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</si>
  <si>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</si>
  <si>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</si>
  <si>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</si>
  <si>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</si>
  <si>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</si>
  <si>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</si>
  <si>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</si>
  <si>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</si>
  <si>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</si>
  <si>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</si>
  <si>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</si>
  <si>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</si>
  <si>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</si>
  <si>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</si>
  <si>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</si>
  <si>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</si>
  <si>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</si>
  <si>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</si>
  <si>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</si>
  <si>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</si>
  <si>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</si>
  <si>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</si>
  <si>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</si>
  <si>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</si>
  <si>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</si>
  <si>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</si>
  <si>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</si>
  <si>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</si>
  <si>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</si>
  <si>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</si>
  <si>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</si>
  <si>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</si>
  <si>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</si>
  <si>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</si>
  <si>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</si>
  <si>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</si>
  <si>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</si>
  <si>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</si>
  <si>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</si>
  <si>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</si>
  <si>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</si>
  <si>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</si>
  <si>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</si>
  <si>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</si>
  <si>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</si>
  <si>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</si>
  <si>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</si>
  <si>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</si>
  <si>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</si>
  <si>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</si>
  <si>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</si>
  <si>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</si>
  <si>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</si>
  <si>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</si>
  <si>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</si>
  <si>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</si>
  <si>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</si>
  <si>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</si>
  <si>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</si>
  <si>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</si>
  <si>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</si>
  <si>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</si>
  <si>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</si>
  <si>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</si>
  <si>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</si>
  <si>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</si>
  <si>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</si>
  <si>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</si>
  <si>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</si>
  <si>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</si>
  <si>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</si>
  <si>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</si>
  <si>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</si>
  <si>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</si>
  <si>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</si>
  <si>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</si>
  <si>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</si>
  <si>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</si>
  <si>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</si>
  <si>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</si>
  <si>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</si>
  <si>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</si>
  <si>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</si>
  <si>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</si>
  <si>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</si>
  <si>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</si>
  <si>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</si>
  <si>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</si>
  <si>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</si>
  <si>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</si>
  <si>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</si>
  <si>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</si>
  <si>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</si>
  <si>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</si>
  <si>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</si>
  <si>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</si>
  <si>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</si>
  <si>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</si>
  <si>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</si>
  <si>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</si>
  <si>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</si>
  <si>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</si>
  <si>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</si>
  <si>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</si>
  <si>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</si>
  <si>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</si>
  <si>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</si>
  <si>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</si>
  <si>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</si>
  <si>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</si>
  <si>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</si>
  <si>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</si>
  <si>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</si>
  <si>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</si>
  <si>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</si>
  <si>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</si>
  <si>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</si>
  <si>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</si>
  <si>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</si>
  <si>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</si>
  <si>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</si>
  <si>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</si>
  <si>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</si>
  <si>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</si>
  <si>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</si>
  <si>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</si>
  <si>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</si>
  <si>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</si>
  <si>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</si>
  <si>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</si>
  <si>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</si>
  <si>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</si>
  <si>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</si>
  <si>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</si>
  <si>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</si>
  <si>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</si>
  <si>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</si>
  <si>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</si>
  <si>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</si>
  <si>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</si>
  <si>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</si>
  <si>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</si>
  <si>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</si>
  <si>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</si>
  <si>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</si>
  <si>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</si>
  <si>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</si>
  <si>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</si>
  <si>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</si>
  <si>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</si>
  <si>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</si>
  <si>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</si>
  <si>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</si>
  <si>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</si>
  <si>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</si>
  <si>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</si>
  <si>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</si>
  <si>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</si>
  <si>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</si>
  <si>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</si>
  <si>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</si>
  <si>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</si>
  <si>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</si>
  <si>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</si>
  <si>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</si>
  <si>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</si>
  <si>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</si>
  <si>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</si>
  <si>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</si>
  <si>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</si>
  <si>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</si>
  <si>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</si>
  <si>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</si>
  <si>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</si>
  <si>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</si>
  <si>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</si>
  <si>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</si>
  <si>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</si>
  <si>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</si>
  <si>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</si>
  <si>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</si>
  <si>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</si>
  <si>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</si>
  <si>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</si>
  <si>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</si>
  <si>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</si>
  <si>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</si>
  <si>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</si>
  <si>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</si>
  <si>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</si>
  <si>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</si>
  <si>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</si>
  <si>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</si>
  <si>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</si>
  <si>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</si>
  <si>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</si>
  <si>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</si>
  <si>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</si>
  <si>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</si>
  <si>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</si>
  <si>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</si>
  <si>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</si>
  <si>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</si>
  <si>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</si>
  <si>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</si>
  <si>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</si>
  <si>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</si>
  <si>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</si>
  <si>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</si>
  <si>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</si>
  <si>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</si>
  <si>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</si>
  <si>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</si>
  <si>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</si>
  <si>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</si>
  <si>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</si>
  <si>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</si>
  <si>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</si>
  <si>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</si>
  <si>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</si>
  <si>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</si>
  <si>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</si>
  <si>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</si>
  <si>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</si>
  <si>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</si>
  <si>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</si>
  <si>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</si>
  <si>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</si>
  <si>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</si>
  <si>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</si>
  <si>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</si>
  <si>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</si>
  <si>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</si>
  <si>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</si>
  <si>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</si>
  <si>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</si>
  <si>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</si>
  <si>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</si>
  <si>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</si>
  <si>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</si>
  <si>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</si>
  <si>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</si>
  <si>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</si>
  <si>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</si>
  <si>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</si>
  <si>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</si>
  <si>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</si>
  <si>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</si>
  <si>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</si>
  <si>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</si>
  <si>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</si>
  <si>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</si>
  <si>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</si>
  <si>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</si>
  <si>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</si>
  <si>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</si>
  <si>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</si>
  <si>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</si>
  <si>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</si>
  <si>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</si>
  <si>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</si>
  <si>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</si>
  <si>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</si>
  <si>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</si>
  <si>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</si>
  <si>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</si>
  <si>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</si>
  <si>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</si>
  <si>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</si>
  <si>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</si>
  <si>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</si>
  <si>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</si>
  <si>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</si>
  <si>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</si>
  <si>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</si>
  <si>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</si>
  <si>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</si>
  <si>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</si>
  <si>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</si>
  <si>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</si>
  <si>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</si>
  <si>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</si>
  <si>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</si>
  <si>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</si>
  <si>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</si>
  <si>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</si>
  <si>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</si>
  <si>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</si>
  <si>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</si>
  <si>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</si>
  <si>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</si>
  <si>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</si>
  <si>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</si>
  <si>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</si>
  <si>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</si>
  <si>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</si>
  <si>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</si>
  <si>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</si>
  <si>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</si>
  <si>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</si>
  <si>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</si>
  <si>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</si>
  <si>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</si>
  <si>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</si>
  <si>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</si>
  <si>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</si>
  <si>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</si>
  <si>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</si>
  <si>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</si>
  <si>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</si>
  <si>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</si>
  <si>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</si>
  <si>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</si>
  <si>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</si>
  <si>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</si>
  <si>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</si>
  <si>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</si>
  <si>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</si>
  <si>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</si>
  <si>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</si>
  <si>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</si>
  <si>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</si>
  <si>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</si>
  <si>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</si>
  <si>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</si>
  <si>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</si>
  <si>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</si>
  <si>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</si>
  <si>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</si>
  <si>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</si>
  <si>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</si>
  <si>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</si>
  <si>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</si>
  <si>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</si>
  <si>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</si>
  <si>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</si>
  <si>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</si>
  <si>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</si>
  <si>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</si>
  <si>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</si>
  <si>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</si>
  <si>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</si>
  <si>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</si>
  <si>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</si>
  <si>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</si>
  <si>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</si>
  <si>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</si>
  <si>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</si>
  <si>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</si>
  <si>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</si>
  <si>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</si>
  <si>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</si>
  <si>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</si>
  <si>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</si>
  <si>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</si>
  <si>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</si>
  <si>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</si>
  <si>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</si>
  <si>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</si>
  <si>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</si>
  <si>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</si>
  <si>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</si>
  <si>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</si>
  <si>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</si>
  <si>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</si>
  <si>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</si>
  <si>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</si>
  <si>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</si>
  <si>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</si>
  <si>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</si>
  <si>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</si>
  <si>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</si>
  <si>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</si>
  <si>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</si>
  <si>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</si>
  <si>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</si>
  <si>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</si>
  <si>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</si>
  <si>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</si>
  <si>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</si>
  <si>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</si>
  <si>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</si>
  <si>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</si>
  <si>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</si>
  <si>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</si>
  <si>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</si>
  <si>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</si>
  <si>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</si>
  <si>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</si>
  <si>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</si>
  <si>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</si>
  <si>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</si>
  <si>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</si>
  <si>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</si>
  <si>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</si>
  <si>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</si>
  <si>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</si>
  <si>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</si>
  <si>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</si>
  <si>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</si>
  <si>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</si>
  <si>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</si>
  <si>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</si>
  <si>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</si>
  <si>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</si>
  <si>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</si>
  <si>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</si>
  <si>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</si>
  <si>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</si>
  <si>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</si>
  <si>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</si>
  <si>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</si>
  <si>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</si>
  <si>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</si>
  <si>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</si>
  <si>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</si>
  <si>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</si>
  <si>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</si>
  <si>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</si>
  <si>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</si>
  <si>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</si>
  <si>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</si>
  <si>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</si>
  <si>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</si>
  <si>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</si>
  <si>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</si>
  <si>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</si>
  <si>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</si>
  <si>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</si>
  <si>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</si>
  <si>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</si>
  <si>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</si>
  <si>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</si>
  <si>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</si>
  <si>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</si>
  <si>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</si>
  <si>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</si>
  <si>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</si>
  <si>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</si>
  <si>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</si>
  <si>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</si>
  <si>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</si>
  <si>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</si>
  <si>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</si>
  <si>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</si>
  <si>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</si>
  <si>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</si>
  <si>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</si>
  <si>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</si>
  <si>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</si>
  <si>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</si>
  <si>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</si>
  <si>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</si>
  <si>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</si>
  <si>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</si>
  <si>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</si>
  <si>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</si>
  <si>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</si>
  <si>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</si>
  <si>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</si>
  <si>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</si>
  <si>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</si>
  <si>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</si>
  <si>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</si>
  <si>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</si>
  <si>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</si>
  <si>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</si>
  <si>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</si>
  <si>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</si>
  <si>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</si>
  <si>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</si>
  <si>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</si>
  <si>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</si>
  <si>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</si>
  <si>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</si>
  <si>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</si>
  <si>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</si>
  <si>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</si>
  <si>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</si>
  <si>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</si>
  <si>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</si>
  <si>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</si>
  <si>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</si>
  <si>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</si>
  <si>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</si>
  <si>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</si>
  <si>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</si>
  <si>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</si>
  <si>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</si>
  <si>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</si>
  <si>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</si>
  <si>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</si>
  <si>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</si>
  <si>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</si>
  <si>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</si>
  <si>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</si>
  <si>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</si>
  <si>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</si>
  <si>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</si>
  <si>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</si>
  <si>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</si>
  <si>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</si>
  <si>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</si>
  <si>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</si>
  <si>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</si>
  <si>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</si>
  <si>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</si>
  <si>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</si>
  <si>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</si>
  <si>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</si>
  <si>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</si>
  <si>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</si>
  <si>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</si>
  <si>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</si>
  <si>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</si>
  <si>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</si>
  <si>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</si>
  <si>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</si>
  <si>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</si>
  <si>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</si>
  <si>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</si>
  <si>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</si>
  <si>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</si>
  <si>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</si>
  <si>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</si>
  <si>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</si>
  <si>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</si>
  <si>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</si>
  <si>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</si>
  <si>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</si>
  <si>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</si>
  <si>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</si>
  <si>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</si>
  <si>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</si>
  <si>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</si>
  <si>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</si>
  <si>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</si>
  <si>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</si>
  <si>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</si>
  <si>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</si>
  <si>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</si>
  <si>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</si>
  <si>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</si>
  <si>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</si>
  <si>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</si>
  <si>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</si>
  <si>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</si>
  <si>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</si>
  <si>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</si>
  <si>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</si>
  <si>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</si>
  <si>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</si>
  <si>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</si>
  <si>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</si>
  <si>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</si>
  <si>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</si>
  <si>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</si>
  <si>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</si>
  <si>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</si>
  <si>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</si>
  <si>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</si>
  <si>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</si>
  <si>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</si>
  <si>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</si>
  <si>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</si>
  <si>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</si>
  <si>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</si>
  <si>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</si>
  <si>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</si>
  <si>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</si>
  <si>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</si>
  <si>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</si>
  <si>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</si>
  <si>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</si>
  <si>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</si>
  <si>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</si>
  <si>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</si>
  <si>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</si>
  <si>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</si>
  <si>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</si>
  <si>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</si>
  <si>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</si>
  <si>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</si>
  <si>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</si>
  <si>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</si>
  <si>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</si>
  <si>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</si>
  <si>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</si>
  <si>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</si>
  <si>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</si>
  <si>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</si>
  <si>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</si>
  <si>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</si>
  <si>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</si>
  <si>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</si>
  <si>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</si>
  <si>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</si>
  <si>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</si>
  <si>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</si>
  <si>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</si>
  <si>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</si>
  <si>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</si>
  <si>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</si>
  <si>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</si>
  <si>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</si>
  <si>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</si>
  <si>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</si>
  <si>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</si>
  <si>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</si>
  <si>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</si>
  <si>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</si>
  <si>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</si>
  <si>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</si>
  <si>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</si>
  <si>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</si>
  <si>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</si>
  <si>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</si>
  <si>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</si>
  <si>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</si>
  <si>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</si>
  <si>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</si>
  <si>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</si>
  <si>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</si>
  <si>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</si>
  <si>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</si>
  <si>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</si>
  <si>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</si>
  <si>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</si>
  <si>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</si>
  <si>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</si>
  <si>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</si>
  <si>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</si>
  <si>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</si>
  <si>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</si>
  <si>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</si>
  <si>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</si>
  <si>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</si>
  <si>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</si>
  <si>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</si>
  <si>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</si>
  <si>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</si>
  <si>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</si>
  <si>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</si>
  <si>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</si>
  <si>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</si>
  <si>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</si>
  <si>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</si>
  <si>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</si>
  <si>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</si>
  <si>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</si>
  <si>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</si>
  <si>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</si>
  <si>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</si>
  <si>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</si>
  <si>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</si>
  <si>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</si>
  <si>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</si>
  <si>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</si>
  <si>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</si>
  <si>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</si>
  <si>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</si>
  <si>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</si>
  <si>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</si>
  <si>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</si>
  <si>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</si>
  <si>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</si>
  <si>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</si>
  <si>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</si>
  <si>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</si>
  <si>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</si>
  <si>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</si>
  <si>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</si>
  <si>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</si>
  <si>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</si>
  <si>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</si>
  <si>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</si>
  <si>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</si>
  <si>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</si>
  <si>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</si>
  <si>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</si>
  <si>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</si>
  <si>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</si>
  <si>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</si>
  <si>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</si>
  <si>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</si>
  <si>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</si>
  <si>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</si>
  <si>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</si>
  <si>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</si>
  <si>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</si>
  <si>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</si>
  <si>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</si>
  <si>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</si>
  <si>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</si>
  <si>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</si>
  <si>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</si>
  <si>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</si>
  <si>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</si>
  <si>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</si>
  <si>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</si>
  <si>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</si>
  <si>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</si>
  <si>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</si>
  <si>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</si>
  <si>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</si>
  <si>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</si>
  <si>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</si>
  <si>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</si>
  <si>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</si>
  <si>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</si>
  <si>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</si>
  <si>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</si>
  <si>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</si>
  <si>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</si>
  <si>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</si>
  <si>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</si>
  <si>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</si>
  <si>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</si>
  <si>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</si>
  <si>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</si>
  <si>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</si>
  <si>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</si>
  <si>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</si>
  <si>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</si>
  <si>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</si>
  <si>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</si>
  <si>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</si>
  <si>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</si>
  <si>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</si>
  <si>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</si>
  <si>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</si>
  <si>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</si>
  <si>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</si>
  <si>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</si>
  <si>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</si>
  <si>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</si>
  <si>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</si>
  <si>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</si>
  <si>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</si>
  <si>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</si>
  <si>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</si>
  <si>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</si>
  <si>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</si>
  <si>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</si>
  <si>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</si>
  <si>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</si>
  <si>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</si>
  <si>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</si>
  <si>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</si>
  <si>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</si>
  <si>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</si>
  <si>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</si>
  <si>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</si>
  <si>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</si>
  <si>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</si>
  <si>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</si>
  <si>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</si>
  <si>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</si>
  <si>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</si>
  <si>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</si>
  <si>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</si>
  <si>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</si>
  <si>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</si>
  <si>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</si>
  <si>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</si>
  <si>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</si>
  <si>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</si>
  <si>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</si>
  <si>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</si>
  <si>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</si>
  <si>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</si>
  <si>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</si>
  <si>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</si>
  <si>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</si>
  <si>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</si>
  <si>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</si>
  <si>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</si>
  <si>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</si>
  <si>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</si>
  <si>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</si>
  <si>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</si>
  <si>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</si>
  <si>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</si>
  <si>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</si>
  <si>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</si>
  <si>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</si>
  <si>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</si>
  <si>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</si>
  <si>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</si>
  <si>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</si>
  <si>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</si>
  <si>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</si>
  <si>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</si>
  <si>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</si>
  <si>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</si>
  <si>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</si>
  <si>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</si>
  <si>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</si>
  <si>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</si>
  <si>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</si>
  <si>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</si>
  <si>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</si>
  <si>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</si>
  <si>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</si>
  <si>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</si>
  <si>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</si>
  <si>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</si>
  <si>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</si>
  <si>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</si>
  <si>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</si>
  <si>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</si>
  <si>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</si>
  <si>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</si>
  <si>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</si>
  <si>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</si>
  <si>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</si>
  <si>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</si>
  <si>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</si>
  <si>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</si>
  <si>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</si>
  <si>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</si>
  <si>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</si>
  <si>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</si>
  <si>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</si>
  <si>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</si>
  <si>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</si>
  <si>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</si>
  <si>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</si>
  <si>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</si>
  <si>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</si>
  <si>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</si>
  <si>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</si>
  <si>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</si>
  <si>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</si>
  <si>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</si>
  <si>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</si>
  <si>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</si>
  <si>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</si>
  <si>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</si>
  <si>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</si>
  <si>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</si>
  <si>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</si>
  <si>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</si>
  <si>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</si>
  <si>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</si>
  <si>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</si>
  <si>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</si>
  <si>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</si>
  <si>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</si>
  <si>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</si>
  <si>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</si>
  <si>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</si>
  <si>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</si>
  <si>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</si>
  <si>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</si>
  <si>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</si>
  <si>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</si>
  <si>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</si>
  <si>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</si>
  <si>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</si>
  <si>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</si>
  <si>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</si>
  <si>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</si>
  <si>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</si>
  <si>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</si>
  <si>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</si>
  <si>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</si>
  <si>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</si>
  <si>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</si>
  <si>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</si>
  <si>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</si>
  <si>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</si>
  <si>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</si>
  <si>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</si>
  <si>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</si>
  <si>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</si>
  <si>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</si>
  <si>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</si>
  <si>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</si>
  <si>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</si>
  <si>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</si>
  <si>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</si>
  <si>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</si>
  <si>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</si>
  <si>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</si>
  <si>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</si>
  <si>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</si>
  <si>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</si>
  <si>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</si>
  <si>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</si>
  <si>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</si>
  <si>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</si>
  <si>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</si>
  <si>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</si>
  <si>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</si>
  <si>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</si>
  <si>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</si>
  <si>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</si>
  <si>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</si>
  <si>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</si>
  <si>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</si>
  <si>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</si>
  <si>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</si>
  <si>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</si>
  <si>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</si>
  <si>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</si>
  <si>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</si>
  <si>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</si>
  <si>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</si>
  <si>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</si>
  <si>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</si>
  <si>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</si>
  <si>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</si>
  <si>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</si>
  <si>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</si>
  <si>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</si>
  <si>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</si>
  <si>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</si>
  <si>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</si>
  <si>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</si>
  <si>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</si>
  <si>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</si>
  <si>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</si>
  <si>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</si>
  <si>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</si>
  <si>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</si>
  <si>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</si>
  <si>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</si>
  <si>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</si>
  <si>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</si>
  <si>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</si>
  <si>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</si>
  <si>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</si>
  <si>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</si>
  <si>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</si>
  <si>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</si>
  <si>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</si>
  <si>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</si>
  <si>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</si>
  <si>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</si>
  <si>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</si>
  <si>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</si>
  <si>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</si>
  <si>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</si>
  <si>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</si>
  <si>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</si>
  <si>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</si>
  <si>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</si>
  <si>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</si>
  <si>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</si>
  <si>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</si>
  <si>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</si>
  <si>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</si>
  <si>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</si>
  <si>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</si>
  <si>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</si>
  <si>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</si>
  <si>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</si>
  <si>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</si>
  <si>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</si>
  <si>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</si>
  <si>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</si>
  <si>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</si>
  <si>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</si>
  <si>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</si>
  <si>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</si>
  <si>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</si>
  <si>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</si>
  <si>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</si>
  <si>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</si>
  <si>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</si>
  <si>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</si>
  <si>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</si>
  <si>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</si>
  <si>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</si>
  <si>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</si>
  <si>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</si>
  <si>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</si>
  <si>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</si>
  <si>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</si>
  <si>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</si>
  <si>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</si>
  <si>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</si>
  <si>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</si>
  <si>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</si>
  <si>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</si>
  <si>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</si>
  <si>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</si>
  <si>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</si>
  <si>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</si>
  <si>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</si>
  <si>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</si>
  <si>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</si>
  <si>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</si>
  <si>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</si>
  <si>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</si>
  <si>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</si>
  <si>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</si>
  <si>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</si>
  <si>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</si>
  <si>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</si>
  <si>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</si>
  <si>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</si>
  <si>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</si>
  <si>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</si>
  <si>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</si>
  <si>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</si>
  <si>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</si>
  <si>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</si>
  <si>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</si>
  <si>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</si>
  <si>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</si>
  <si>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</si>
  <si>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</si>
  <si>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</si>
  <si>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</si>
  <si>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</si>
  <si>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</si>
  <si>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</si>
  <si>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</si>
  <si>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</si>
  <si>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</si>
  <si>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</si>
  <si>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</si>
  <si>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</si>
  <si>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</si>
  <si>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</si>
  <si>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</si>
  <si>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</si>
  <si>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</si>
  <si>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</si>
  <si>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</si>
  <si>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</si>
  <si>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</si>
  <si>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</si>
  <si>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</si>
  <si>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</si>
  <si>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</si>
  <si>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</si>
  <si>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</si>
  <si>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</si>
  <si>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</si>
  <si>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</si>
  <si>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</si>
  <si>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</si>
  <si>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</si>
  <si>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</si>
  <si>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</si>
  <si>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</si>
  <si>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</si>
  <si>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</si>
  <si>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</si>
  <si>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</si>
  <si>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</si>
  <si>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</si>
  <si>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</si>
  <si>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</si>
  <si>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</si>
  <si>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</si>
  <si>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</si>
  <si>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</si>
  <si>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</si>
  <si>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</si>
  <si>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</si>
  <si>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</si>
  <si>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</si>
  <si>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</si>
  <si>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</si>
  <si>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</si>
  <si>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</si>
  <si>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</si>
  <si>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</si>
  <si>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</si>
  <si>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</si>
  <si>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</si>
  <si>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</si>
  <si>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</si>
  <si>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</si>
  <si>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</si>
  <si>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</si>
  <si>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</si>
  <si>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</si>
  <si>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</si>
  <si>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</si>
  <si>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</si>
  <si>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</si>
  <si>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</si>
  <si>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</si>
  <si>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</si>
  <si>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</si>
  <si>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</si>
  <si>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</si>
  <si>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</si>
  <si>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</si>
  <si>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</si>
  <si>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</si>
  <si>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</si>
  <si>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</si>
  <si>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</si>
  <si>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</si>
  <si>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</si>
  <si>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</si>
  <si>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</si>
  <si>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</si>
  <si>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</si>
  <si>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</si>
  <si>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</si>
  <si>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</si>
  <si>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</si>
  <si>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</si>
  <si>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</si>
  <si>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</si>
  <si>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</si>
  <si>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</si>
  <si>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</si>
  <si>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</si>
  <si>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</si>
  <si>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</si>
  <si>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</si>
  <si>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</si>
  <si>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</si>
  <si>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</si>
  <si>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</si>
  <si>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</si>
  <si>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</si>
  <si>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</si>
  <si>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</si>
  <si>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</si>
  <si>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</si>
  <si>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</si>
  <si>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</si>
  <si>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</si>
  <si>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</si>
  <si>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</si>
  <si>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</si>
  <si>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</si>
  <si>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</si>
  <si>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</si>
  <si>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</si>
  <si>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</si>
  <si>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</si>
  <si>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</si>
  <si>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</si>
  <si>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</si>
  <si>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</si>
  <si>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</si>
  <si>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</si>
  <si>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</si>
  <si>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</si>
  <si>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</si>
  <si>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</si>
  <si>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</si>
  <si>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</si>
  <si>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</si>
  <si>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</si>
  <si>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</si>
  <si>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</si>
  <si>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</si>
  <si>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</si>
  <si>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</si>
  <si>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</si>
  <si>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</si>
  <si>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</si>
  <si>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</si>
  <si>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</si>
  <si>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</si>
  <si>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</si>
  <si>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</si>
  <si>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</si>
  <si>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</si>
  <si>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</si>
  <si>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</si>
  <si>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</si>
  <si>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</si>
  <si>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</si>
  <si>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</si>
  <si>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</si>
  <si>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</si>
  <si>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</si>
  <si>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</si>
  <si>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</si>
  <si>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</si>
  <si>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</si>
  <si>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</si>
  <si>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</si>
  <si>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</si>
  <si>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</si>
  <si>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</si>
  <si>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</si>
  <si>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</si>
  <si>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</si>
  <si>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</si>
  <si>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</si>
  <si>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</si>
  <si>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</si>
  <si>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</si>
  <si>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</si>
  <si>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</si>
  <si>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</si>
  <si>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</si>
  <si>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</si>
  <si>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</si>
  <si>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</si>
  <si>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</si>
  <si>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</si>
  <si>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</si>
  <si>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</si>
  <si>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</si>
  <si>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</si>
  <si>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</si>
  <si>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</si>
  <si>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</si>
  <si>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</si>
  <si>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</si>
  <si>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</si>
  <si>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</si>
  <si>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</si>
  <si>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</si>
  <si>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</si>
  <si>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</si>
  <si>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</si>
  <si>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</si>
  <si>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</si>
  <si>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</si>
  <si>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</si>
  <si>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</si>
  <si>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</si>
  <si>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</si>
  <si>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</si>
  <si>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</si>
  <si>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</si>
  <si>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</si>
  <si>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</si>
  <si>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</si>
  <si>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</si>
  <si>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</si>
  <si>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</si>
  <si>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</si>
  <si>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</si>
  <si>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</si>
  <si>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</si>
  <si>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</si>
  <si>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</si>
  <si>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</si>
  <si>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</si>
  <si>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</si>
  <si>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</si>
  <si>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</si>
  <si>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</si>
  <si>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</si>
  <si>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</si>
  <si>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</si>
  <si>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</si>
  <si>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</si>
  <si>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</si>
  <si>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</si>
  <si>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</si>
  <si>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</si>
  <si>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</si>
  <si>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</si>
  <si>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</si>
  <si>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</si>
  <si>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</si>
  <si>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</si>
  <si>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</si>
  <si>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</si>
  <si>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</si>
  <si>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</si>
  <si>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</si>
  <si>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</si>
  <si>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</si>
  <si>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</si>
  <si>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</si>
  <si>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</si>
  <si>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</si>
  <si>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</si>
  <si>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</si>
  <si>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</si>
  <si>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</si>
  <si>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</si>
  <si>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</si>
  <si>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</si>
  <si>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</si>
  <si>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</si>
  <si>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</si>
  <si>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</si>
  <si>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</si>
  <si>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</si>
  <si>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</si>
  <si>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</si>
  <si>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</si>
  <si>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</si>
  <si>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</si>
  <si>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</si>
  <si>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</si>
  <si>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</si>
  <si>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</si>
  <si>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</si>
  <si>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</si>
  <si>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</si>
  <si>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</si>
  <si>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</si>
  <si>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</si>
  <si>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</si>
  <si>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</si>
  <si>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</si>
  <si>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</si>
  <si>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</si>
  <si>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</si>
  <si>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</si>
  <si>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</si>
  <si>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</si>
  <si>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</si>
  <si>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</si>
  <si>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</si>
  <si>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</si>
  <si>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</si>
  <si>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</si>
  <si>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</si>
  <si>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</si>
  <si>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</si>
  <si>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</si>
  <si>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</si>
  <si>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</si>
  <si>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</si>
  <si>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</si>
  <si>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</si>
  <si>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</si>
  <si>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</si>
  <si>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</si>
  <si>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</si>
  <si>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</si>
  <si>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</si>
  <si>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</si>
  <si>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</si>
  <si>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</si>
  <si>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</si>
  <si>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</si>
  <si>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</si>
  <si>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</si>
  <si>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</si>
  <si>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</si>
  <si>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</si>
  <si>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</si>
  <si>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</si>
  <si>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</si>
  <si>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</si>
  <si>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</si>
  <si>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</si>
  <si>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</si>
  <si>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</si>
  <si>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</si>
  <si>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</si>
  <si>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</si>
  <si>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</si>
  <si>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</si>
  <si>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</si>
  <si>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</si>
  <si>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</si>
  <si>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</si>
  <si>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</si>
  <si>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</si>
  <si>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</si>
  <si>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</si>
  <si>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</si>
  <si>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</si>
  <si>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</si>
  <si>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</si>
  <si>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</si>
  <si>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</si>
  <si>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</si>
  <si>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</si>
  <si>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</si>
  <si>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</si>
  <si>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</si>
  <si>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</si>
  <si>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</si>
  <si>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</si>
  <si>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</si>
  <si>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</si>
  <si>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</si>
  <si>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</si>
  <si>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</si>
  <si>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</si>
  <si>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</si>
  <si>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</si>
  <si>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</si>
  <si>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</si>
  <si>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</si>
  <si>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</si>
  <si>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</si>
  <si>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</si>
  <si>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</si>
  <si>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</si>
  <si>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</si>
  <si>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</si>
  <si>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</si>
  <si>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</si>
  <si>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</si>
  <si>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</si>
  <si>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</si>
  <si>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</si>
  <si>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</si>
  <si>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</si>
  <si>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</si>
  <si>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</si>
  <si>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</si>
  <si>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</si>
  <si>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</si>
  <si>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</si>
  <si>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</si>
  <si>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</si>
  <si>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</si>
  <si>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</si>
  <si>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</si>
  <si>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</si>
  <si>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</si>
  <si>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</si>
  <si>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</si>
  <si>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</si>
  <si>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</si>
  <si>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</si>
  <si>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</si>
  <si>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</si>
  <si>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</si>
  <si>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</si>
  <si>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</si>
  <si>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</si>
  <si>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</si>
  <si>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</si>
  <si>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</si>
  <si>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</si>
  <si>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</si>
  <si>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</si>
  <si>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</si>
  <si>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</si>
  <si>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</si>
  <si>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</si>
  <si>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</si>
  <si>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</si>
  <si>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</si>
  <si>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</si>
  <si>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</si>
  <si>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</si>
  <si>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</si>
  <si>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</si>
  <si>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</si>
  <si>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</si>
  <si>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</si>
  <si>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</si>
  <si>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京（2019）朝不动产权第0046214号</t>
    <phoneticPr fontId="134" type="noConversion"/>
  </si>
  <si>
    <t>合计</t>
    <phoneticPr fontId="134" type="noConversion"/>
  </si>
  <si>
    <t>1层商业</t>
    <phoneticPr fontId="134" type="noConversion"/>
  </si>
  <si>
    <t>2层商业</t>
    <phoneticPr fontId="134" type="noConversion"/>
  </si>
  <si>
    <t>负1层商业</t>
    <phoneticPr fontId="134" type="noConversion"/>
  </si>
  <si>
    <t>负2层商业</t>
    <phoneticPr fontId="134" type="noConversion"/>
  </si>
  <si>
    <t>车位</t>
    <phoneticPr fontId="134" type="noConversion"/>
  </si>
  <si>
    <t>评估面积</t>
    <phoneticPr fontId="134" type="noConversion"/>
  </si>
  <si>
    <t>总建筑面积</t>
    <phoneticPr fontId="134" type="noConversion"/>
  </si>
  <si>
    <t>总土地面积</t>
    <phoneticPr fontId="134" type="noConversion"/>
  </si>
  <si>
    <t>分摊土地面积</t>
    <phoneticPr fontId="134" type="noConversion"/>
  </si>
  <si>
    <t>京（2019）朝不动产权第0046213号</t>
    <phoneticPr fontId="134" type="noConversion"/>
  </si>
  <si>
    <t>朝阳区清林东路4号院8号楼1层105等26套</t>
    <phoneticPr fontId="134" type="noConversion"/>
  </si>
  <si>
    <t>朝阳区清林东路4号院12幢-3层B2104等672套</t>
    <phoneticPr fontId="134" type="noConversion"/>
  </si>
  <si>
    <t>京（2020）朝不动产权第0027287号</t>
    <phoneticPr fontId="134" type="noConversion"/>
  </si>
  <si>
    <t>朝阳区清林东路4号院13幢-2层-201号等6套</t>
    <phoneticPr fontId="134" type="noConversion"/>
  </si>
  <si>
    <t>抵押</t>
  </si>
  <si>
    <t>房地产抵押价值</t>
  </si>
  <si>
    <t>北京市</t>
  </si>
  <si>
    <t>企业</t>
  </si>
  <si>
    <t>是</t>
  </si>
  <si>
    <t>地上</t>
  </si>
  <si>
    <t>地下</t>
  </si>
  <si>
    <t>车库—商业</t>
  </si>
  <si>
    <t>地上商业</t>
  </si>
  <si>
    <t>地上商业</t>
    <phoneticPr fontId="7" type="noConversion"/>
  </si>
  <si>
    <t>地下商业1</t>
  </si>
  <si>
    <t>地下商业1</t>
    <phoneticPr fontId="7" type="noConversion"/>
  </si>
  <si>
    <t>地下车库</t>
  </si>
  <si>
    <t>地下车库</t>
    <phoneticPr fontId="7" type="noConversion"/>
  </si>
  <si>
    <t>地下商业2</t>
  </si>
  <si>
    <t>地下商业2</t>
    <phoneticPr fontId="7" type="noConversion"/>
  </si>
  <si>
    <t>成新度</t>
  </si>
  <si>
    <t>地上商业</t>
    <phoneticPr fontId="3" type="noConversion"/>
  </si>
  <si>
    <r>
      <rPr>
        <sz val="10"/>
        <color indexed="8"/>
        <rFont val="宋体"/>
        <family val="3"/>
        <charset val="134"/>
      </rPr>
      <t>地下商业</t>
    </r>
    <r>
      <rPr>
        <sz val="10"/>
        <color indexed="8"/>
        <rFont val="Arial"/>
        <family val="2"/>
      </rPr>
      <t>1</t>
    </r>
    <phoneticPr fontId="3" type="noConversion"/>
  </si>
  <si>
    <t>利息：取LPR加浮动点数</t>
  </si>
  <si>
    <t>自定义容积率</t>
  </si>
  <si>
    <t>楼层修正</t>
  </si>
  <si>
    <t>不临65条商业街</t>
  </si>
  <si>
    <t>与级别开发程度一致</t>
  </si>
  <si>
    <t>一般</t>
  </si>
  <si>
    <t>较好</t>
  </si>
  <si>
    <t>好</t>
  </si>
  <si>
    <t>成本法-地下商业1</t>
  </si>
  <si>
    <t>成本法-地下商业1</t>
    <phoneticPr fontId="16" type="noConversion"/>
  </si>
  <si>
    <t>成本法-地下商业2</t>
  </si>
  <si>
    <t>成本法-地下商业2</t>
    <phoneticPr fontId="16" type="noConversion"/>
  </si>
  <si>
    <t>成本法-地下车库</t>
  </si>
  <si>
    <t>成本法-地下车库</t>
    <phoneticPr fontId="16" type="noConversion"/>
  </si>
  <si>
    <t>收益法-地下商业1</t>
  </si>
  <si>
    <t>收益法-地下商业1</t>
    <phoneticPr fontId="16" type="noConversion"/>
  </si>
  <si>
    <t>收益法-地下商业2</t>
  </si>
  <si>
    <t>收益法-地下商业2</t>
    <phoneticPr fontId="16" type="noConversion"/>
  </si>
  <si>
    <t>收益法-地下车库</t>
  </si>
  <si>
    <t>收益法-地下车库</t>
    <phoneticPr fontId="16" type="noConversion"/>
  </si>
  <si>
    <t>收益法</t>
  </si>
  <si>
    <t>钢混</t>
  </si>
  <si>
    <t>非生产用房</t>
  </si>
  <si>
    <t>否</t>
  </si>
  <si>
    <t>押一</t>
  </si>
  <si>
    <t>未包含在土地购买价格中</t>
  </si>
  <si>
    <t>全部缴纳</t>
  </si>
  <si>
    <t>已包含在土地取得成本中</t>
  </si>
  <si>
    <t>成本法</t>
  </si>
  <si>
    <t>总价</t>
  </si>
  <si>
    <t>上年</t>
    <phoneticPr fontId="134" type="noConversion"/>
  </si>
  <si>
    <t>本年</t>
    <phoneticPr fontId="134" type="noConversion"/>
  </si>
  <si>
    <t>地上商业</t>
    <phoneticPr fontId="134" type="noConversion"/>
  </si>
  <si>
    <t>12幢地下4套商业</t>
    <phoneticPr fontId="134" type="noConversion"/>
  </si>
  <si>
    <t>13幢地下商业</t>
    <phoneticPr fontId="134" type="noConversion"/>
  </si>
  <si>
    <t>12幢地下车库</t>
    <phoneticPr fontId="134" type="noConversion"/>
  </si>
  <si>
    <t>成本比率</t>
  </si>
  <si>
    <t>项目名称</t>
  </si>
  <si>
    <t>建筑面积</t>
  </si>
  <si>
    <t>分摊土地面积</t>
  </si>
  <si>
    <t>建筑物价值</t>
  </si>
  <si>
    <t>房地产价值</t>
  </si>
  <si>
    <t>楼面单价</t>
  </si>
  <si>
    <t>总 价</t>
  </si>
  <si>
    <t>北京市朝阳区清林东路4号院8号楼1层105等10套商业用房房地产</t>
  </si>
  <si>
    <t>北京市朝阳区清林东路4号院12幢-1层-101等4套商业用房房地产</t>
  </si>
  <si>
    <t>北京市朝阳区清林东路4号院12幢-3层B2104等668套地下车库用房房地产</t>
  </si>
  <si>
    <t>北京市朝阳区清林东路4号院13幢-2层-201等5套商业用房房地产</t>
  </si>
  <si>
    <r>
      <t>出让</t>
    </r>
    <r>
      <rPr>
        <sz val="10"/>
        <color theme="1"/>
        <rFont val="宋体"/>
        <family val="3"/>
        <charset val="134"/>
      </rPr>
      <t>国有建设用地使用权价值</t>
    </r>
  </si>
  <si>
    <t>企业介绍</t>
    <phoneticPr fontId="134" type="noConversion"/>
  </si>
  <si>
    <t>奥森天地出租情况</t>
  </si>
  <si>
    <t>序号</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</si>
  <si>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</si>
  <si>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</si>
  <si>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</si>
  <si>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</si>
  <si>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</si>
  <si>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</si>
  <si>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</si>
  <si>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</si>
  <si>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</si>
  <si>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</si>
  <si>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</si>
  <si>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</si>
  <si>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</si>
  <si>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</si>
  <si>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</si>
  <si>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</si>
  <si>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</si>
  <si>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phoneticPr fontId="134" type="noConversion"/>
  </si>
  <si>
    <t>现签约公司</t>
    <phoneticPr fontId="134" type="noConversion"/>
  </si>
  <si>
    <t>北京盒马网络科技有限公司</t>
  </si>
  <si>
    <t>盒马</t>
  </si>
  <si>
    <t>季付</t>
  </si>
  <si>
    <t xml:space="preserve"> 10年 </t>
  </si>
  <si>
    <t>8个月</t>
  </si>
  <si>
    <t>每三年按6%递增</t>
  </si>
  <si>
    <t>正式</t>
  </si>
  <si>
    <t>运达</t>
    <phoneticPr fontId="134" type="noConversion"/>
  </si>
  <si>
    <t>10个车位</t>
    <phoneticPr fontId="134" type="noConversion"/>
  </si>
  <si>
    <t>固定</t>
    <phoneticPr fontId="134" type="noConversion"/>
  </si>
  <si>
    <t>无增长</t>
  </si>
  <si>
    <t>锅炉房</t>
    <phoneticPr fontId="134" type="noConversion"/>
  </si>
  <si>
    <t>每两年按8%递增</t>
    <phoneticPr fontId="134" type="noConversion"/>
  </si>
  <si>
    <t>渤海银行股份有限公司北京分行</t>
  </si>
  <si>
    <t>渤海银行</t>
  </si>
  <si>
    <t>年付</t>
  </si>
  <si>
    <t xml:space="preserve"> 8年 </t>
  </si>
  <si>
    <t>4个月</t>
  </si>
  <si>
    <t>每年按5%递增</t>
  </si>
  <si>
    <t>北京如山企业管理有限公司</t>
  </si>
  <si>
    <t>喜家德水饺</t>
  </si>
  <si>
    <t xml:space="preserve">月付 </t>
  </si>
  <si>
    <t xml:space="preserve"> 5年 </t>
  </si>
  <si>
    <t>1个月</t>
  </si>
  <si>
    <t>每二年按8%递增</t>
  </si>
  <si>
    <t>北京元樽商贸有限公司</t>
  </si>
  <si>
    <t>梦之蓝</t>
  </si>
  <si>
    <t xml:space="preserve"> 3年 </t>
  </si>
  <si>
    <t>呷哺呷哺餐饮管理有限公司</t>
  </si>
  <si>
    <t>呷哺呷哺</t>
  </si>
  <si>
    <t>2个月</t>
  </si>
  <si>
    <t>精英假日（北京）体育发展有限公司</t>
  </si>
  <si>
    <t>全明星</t>
  </si>
  <si>
    <t xml:space="preserve"> 20年 </t>
  </si>
  <si>
    <t>11个月</t>
  </si>
  <si>
    <t>每年按3%递增</t>
  </si>
  <si>
    <t>意向</t>
  </si>
  <si>
    <t>北京麻辣诱惑食品有限公司</t>
  </si>
  <si>
    <t>热辣生活</t>
  </si>
  <si>
    <t>每年按10%递增</t>
  </si>
  <si>
    <t>北京牛角村餐饮管理有限公司</t>
  </si>
  <si>
    <t>牛角村</t>
  </si>
  <si>
    <t>每年按8%递增</t>
  </si>
  <si>
    <t>运达</t>
    <phoneticPr fontId="134" type="noConversion"/>
  </si>
  <si>
    <t>北京祥扬餐饮管理有限公司</t>
  </si>
  <si>
    <t>涨公子新派手工水果茶</t>
  </si>
  <si>
    <t>0个月</t>
  </si>
  <si>
    <t>北京阳光撒露投资发展有限公司</t>
  </si>
  <si>
    <t>撒露SALUD</t>
  </si>
  <si>
    <t>北京丽家丽婴婴童用品股份有限公司</t>
  </si>
  <si>
    <t>丽家宝贝</t>
  </si>
  <si>
    <t>2月</t>
  </si>
  <si>
    <t>每年按7%递增</t>
  </si>
  <si>
    <t>北京麦当劳有限公司</t>
    <phoneticPr fontId="247" type="noConversion"/>
  </si>
  <si>
    <t>麦当劳</t>
    <phoneticPr fontId="247" type="noConversion"/>
  </si>
  <si>
    <t>月付</t>
  </si>
  <si>
    <t>15年</t>
    <phoneticPr fontId="134" type="noConversion"/>
  </si>
  <si>
    <t>5月</t>
  </si>
  <si>
    <t>年销售额800万（含以下），年租金按年销售额7%计提；年销售额800万-1000万（含）之间的，年租金按年销售额8%计提；年销售额1000万-1300万（含）之间的，年租金按年销售额9%计提；年销售额高于1300万，年租金按年销售额10%计提</t>
    <phoneticPr fontId="134" type="noConversion"/>
  </si>
  <si>
    <t>正式</t>
    <phoneticPr fontId="134" type="noConversion"/>
  </si>
  <si>
    <t>运达</t>
    <phoneticPr fontId="134" type="noConversion"/>
  </si>
  <si>
    <t>商业</t>
    <phoneticPr fontId="134" type="noConversion"/>
  </si>
  <si>
    <t>北京山海一品文化传播有限公司</t>
    <phoneticPr fontId="247" type="noConversion"/>
  </si>
  <si>
    <t>悦客电子烟/K9</t>
    <phoneticPr fontId="247" type="noConversion"/>
  </si>
  <si>
    <t>3年</t>
    <phoneticPr fontId="134" type="noConversion"/>
  </si>
  <si>
    <t>固定</t>
    <phoneticPr fontId="134" type="noConversion"/>
  </si>
  <si>
    <t>无增长</t>
    <phoneticPr fontId="134" type="noConversion"/>
  </si>
  <si>
    <t>北京珍味世家餐饮管理有限公司</t>
    <phoneticPr fontId="134" type="noConversion"/>
  </si>
  <si>
    <t>翠屿火锅</t>
    <phoneticPr fontId="134" type="noConversion"/>
  </si>
  <si>
    <t>6年</t>
    <phoneticPr fontId="134" type="noConversion"/>
  </si>
  <si>
    <t>5月</t>
    <phoneticPr fontId="134" type="noConversion"/>
  </si>
  <si>
    <t>每两年按5%递增</t>
    <phoneticPr fontId="134" type="noConversion"/>
  </si>
  <si>
    <t>北京耶一体育俱乐部有限公司</t>
    <phoneticPr fontId="134" type="noConversion"/>
  </si>
  <si>
    <t>高尔夫</t>
    <phoneticPr fontId="134" type="noConversion"/>
  </si>
  <si>
    <t>季付</t>
    <phoneticPr fontId="134" type="noConversion"/>
  </si>
  <si>
    <t>7月</t>
    <phoneticPr fontId="134" type="noConversion"/>
  </si>
  <si>
    <t>北京武将体育文化有限公司</t>
    <phoneticPr fontId="134" type="noConversion"/>
  </si>
  <si>
    <t>武术</t>
    <phoneticPr fontId="134" type="noConversion"/>
  </si>
  <si>
    <t>2年</t>
    <phoneticPr fontId="134" type="noConversion"/>
  </si>
  <si>
    <t>北京乐动静武堂体育文化发展有限公司清林东路分公司</t>
    <phoneticPr fontId="134" type="noConversion"/>
  </si>
  <si>
    <t>散打，泰拳，拳击</t>
    <phoneticPr fontId="134" type="noConversion"/>
  </si>
  <si>
    <t>中若尚合（北京）文化传播有限公司</t>
    <phoneticPr fontId="247" type="noConversion"/>
  </si>
  <si>
    <t>乐园，体适能</t>
    <phoneticPr fontId="134" type="noConversion"/>
  </si>
  <si>
    <t>第三年递增5%</t>
    <phoneticPr fontId="134" type="noConversion"/>
  </si>
  <si>
    <t>北京林奥宝贝家体育文化发展有限公司</t>
    <phoneticPr fontId="134" type="noConversion"/>
  </si>
  <si>
    <t>宝贝家</t>
    <phoneticPr fontId="134" type="noConversion"/>
  </si>
  <si>
    <t>北京弓矢道体育文化发展有限公司</t>
    <phoneticPr fontId="134" type="noConversion"/>
  </si>
  <si>
    <t>弓矢道</t>
    <phoneticPr fontId="247" type="noConversion"/>
  </si>
  <si>
    <t>月付</t>
    <phoneticPr fontId="134" type="noConversion"/>
  </si>
  <si>
    <t>3+2年</t>
    <phoneticPr fontId="134" type="noConversion"/>
  </si>
  <si>
    <t>4月</t>
    <phoneticPr fontId="134" type="noConversion"/>
  </si>
  <si>
    <t>正式</t>
    <phoneticPr fontId="134" type="noConversion"/>
  </si>
  <si>
    <t>商业</t>
    <phoneticPr fontId="134" type="noConversion"/>
  </si>
  <si>
    <t>北京鑫汇峰商贸有限公司</t>
    <phoneticPr fontId="247" type="noConversion"/>
  </si>
  <si>
    <t>老凤祥</t>
    <phoneticPr fontId="247" type="noConversion"/>
  </si>
  <si>
    <t>2年</t>
    <phoneticPr fontId="134" type="noConversion"/>
  </si>
  <si>
    <t>3月</t>
    <phoneticPr fontId="134" type="noConversion"/>
  </si>
  <si>
    <t>每年按5%递增</t>
    <phoneticPr fontId="134" type="noConversion"/>
  </si>
  <si>
    <t>未来区（北京）教育咨询有限公司</t>
    <phoneticPr fontId="134" type="noConversion"/>
  </si>
  <si>
    <t>超级驾驶员</t>
    <phoneticPr fontId="134" type="noConversion"/>
  </si>
  <si>
    <t>2月</t>
    <phoneticPr fontId="134" type="noConversion"/>
  </si>
  <si>
    <t>年递增17%</t>
    <phoneticPr fontId="134" type="noConversion"/>
  </si>
  <si>
    <t>北京未艾方兴体育文化发展有限公司</t>
    <phoneticPr fontId="134" type="noConversion"/>
  </si>
  <si>
    <t>跑酷、体能、攀岩</t>
    <phoneticPr fontId="134" type="noConversion"/>
  </si>
  <si>
    <t>3年</t>
    <phoneticPr fontId="134" type="noConversion"/>
  </si>
  <si>
    <t>第三年递增5%</t>
    <phoneticPr fontId="134" type="noConversion"/>
  </si>
  <si>
    <t>北京丰盈众科技有限公司</t>
    <phoneticPr fontId="247" type="noConversion"/>
  </si>
  <si>
    <t>小米</t>
    <phoneticPr fontId="247" type="noConversion"/>
  </si>
  <si>
    <t>4月</t>
  </si>
  <si>
    <t>每年按6%递增</t>
    <phoneticPr fontId="134" type="noConversion"/>
  </si>
  <si>
    <t>北京德华永胜商贸有限公司</t>
    <phoneticPr fontId="134" type="noConversion"/>
  </si>
  <si>
    <t>茅台</t>
    <phoneticPr fontId="247" type="noConversion"/>
  </si>
  <si>
    <t>10年</t>
    <phoneticPr fontId="134" type="noConversion"/>
  </si>
  <si>
    <t>4.5月</t>
    <phoneticPr fontId="134" type="noConversion"/>
  </si>
  <si>
    <t>每二年按5%递增</t>
    <phoneticPr fontId="134" type="noConversion"/>
  </si>
  <si>
    <t>4.5月</t>
  </si>
  <si>
    <t>北京名媛医疗美容有限责任公司</t>
    <phoneticPr fontId="134" type="noConversion"/>
  </si>
  <si>
    <t>健康美容</t>
    <phoneticPr fontId="247" type="noConversion"/>
  </si>
  <si>
    <t>北京赫石体育文化发展有限公司</t>
    <phoneticPr fontId="247" type="noConversion"/>
  </si>
  <si>
    <t>3月</t>
  </si>
  <si>
    <t>每年按5%递增</t>
    <phoneticPr fontId="134" type="noConversion"/>
  </si>
  <si>
    <t>奥迈嘉海林奥文化产业（北京）有限公司</t>
    <phoneticPr fontId="134" type="noConversion"/>
  </si>
  <si>
    <t>奥迈嘉海</t>
    <phoneticPr fontId="247" type="noConversion"/>
  </si>
  <si>
    <t>6月</t>
    <phoneticPr fontId="134" type="noConversion"/>
  </si>
  <si>
    <t>超凡聚力体育文化发展（北京）有限公司</t>
    <phoneticPr fontId="247" type="noConversion"/>
  </si>
  <si>
    <t>超凡聚力</t>
    <phoneticPr fontId="247" type="noConversion"/>
  </si>
  <si>
    <t>每三年按16%递增</t>
    <phoneticPr fontId="134" type="noConversion"/>
  </si>
  <si>
    <t>超凡聚力体育文化发展（北京）有限公司</t>
  </si>
  <si>
    <t>美山林奥（北京）餐饮管理有限责任公司</t>
    <phoneticPr fontId="134" type="noConversion"/>
  </si>
  <si>
    <t>烤悦</t>
    <phoneticPr fontId="247" type="noConversion"/>
  </si>
  <si>
    <t>6月</t>
  </si>
  <si>
    <t>北京念亓音乐有限公司</t>
    <phoneticPr fontId="134" type="noConversion"/>
  </si>
  <si>
    <t>乐器销售，培训</t>
    <phoneticPr fontId="134" type="noConversion"/>
  </si>
  <si>
    <t>年递增17%</t>
    <phoneticPr fontId="134" type="noConversion"/>
  </si>
  <si>
    <t>赵雪容</t>
    <phoneticPr fontId="247" type="noConversion"/>
  </si>
  <si>
    <t>大澳</t>
    <phoneticPr fontId="247" type="noConversion"/>
  </si>
  <si>
    <t>甘甜</t>
    <phoneticPr fontId="247" type="noConversion"/>
  </si>
  <si>
    <t>养生调理</t>
    <phoneticPr fontId="247" type="noConversion"/>
  </si>
  <si>
    <t>人气倒计时（北京）造型艺术有限公司</t>
    <phoneticPr fontId="247" type="noConversion"/>
  </si>
  <si>
    <t>日式造型护法沙龙</t>
    <phoneticPr fontId="247" type="noConversion"/>
  </si>
  <si>
    <t>5年</t>
  </si>
  <si>
    <t>每年按2%递增</t>
    <phoneticPr fontId="134" type="noConversion"/>
  </si>
  <si>
    <t>北京悦趣童童游乐设备有限公司</t>
    <phoneticPr fontId="134" type="noConversion"/>
  </si>
  <si>
    <t>儿童乐园</t>
    <phoneticPr fontId="247" type="noConversion"/>
  </si>
  <si>
    <t>年递增10%、9%，8%</t>
    <phoneticPr fontId="134" type="noConversion"/>
  </si>
  <si>
    <t>北京澳林橙服装店</t>
    <phoneticPr fontId="247" type="noConversion"/>
  </si>
  <si>
    <t>BODY JAZZ</t>
    <phoneticPr fontId="247" type="noConversion"/>
  </si>
  <si>
    <t>3年</t>
  </si>
  <si>
    <t>每年按3%递增</t>
    <phoneticPr fontId="134" type="noConversion"/>
  </si>
  <si>
    <t>北京优益汇便利店有限公司</t>
    <phoneticPr fontId="134" type="noConversion"/>
  </si>
  <si>
    <t>7-11</t>
    <phoneticPr fontId="247" type="noConversion"/>
  </si>
  <si>
    <t>每二年按6%递增</t>
    <phoneticPr fontId="134" type="noConversion"/>
  </si>
  <si>
    <t>北京万木同春影视文化有限公司</t>
    <phoneticPr fontId="247" type="noConversion"/>
  </si>
  <si>
    <t>观华国际影城</t>
    <phoneticPr fontId="247" type="noConversion"/>
  </si>
  <si>
    <t>10年</t>
    <phoneticPr fontId="134" type="noConversion"/>
  </si>
  <si>
    <t>每二年按5%递增</t>
    <phoneticPr fontId="134" type="noConversion"/>
  </si>
  <si>
    <t>张庭玮</t>
    <phoneticPr fontId="247" type="noConversion"/>
  </si>
  <si>
    <t>树小面</t>
    <phoneticPr fontId="247" type="noConversion"/>
  </si>
  <si>
    <t>每年按2.5%递增</t>
    <phoneticPr fontId="134" type="noConversion"/>
  </si>
  <si>
    <t>北京丽享晟世餐饮管理有限公司</t>
    <phoneticPr fontId="247" type="noConversion"/>
  </si>
  <si>
    <t>咏饮</t>
    <phoneticPr fontId="247" type="noConversion"/>
  </si>
  <si>
    <t>1月</t>
  </si>
  <si>
    <t>固定</t>
    <phoneticPr fontId="134" type="noConversion"/>
  </si>
  <si>
    <t>无增长</t>
    <phoneticPr fontId="134" type="noConversion"/>
  </si>
  <si>
    <t>北京禹翔鹤文化传播有限公司</t>
    <phoneticPr fontId="134" type="noConversion"/>
  </si>
  <si>
    <t>光影剧场酒吧威士忌博物馆</t>
    <phoneticPr fontId="247" type="noConversion"/>
  </si>
  <si>
    <t>光影剧场酒吧威士忌博物馆</t>
  </si>
  <si>
    <t>北京星巴克咖啡有限公司</t>
    <phoneticPr fontId="247" type="noConversion"/>
  </si>
  <si>
    <t>星巴克咖啡</t>
    <phoneticPr fontId="247" type="noConversion"/>
  </si>
  <si>
    <t>12年</t>
    <phoneticPr fontId="134" type="noConversion"/>
  </si>
  <si>
    <t>0月</t>
  </si>
  <si>
    <t>1-3年月净销售额提8%，4-6年月净销售额提9%，7-9年月净销售额提10%，10-初始结束期，月净销售额11%</t>
    <phoneticPr fontId="247" type="noConversion"/>
  </si>
  <si>
    <t>北京玖零煜林儿童游乐有限公司</t>
    <phoneticPr fontId="134" type="noConversion"/>
  </si>
  <si>
    <t>淘矿鱼趣泡泡乐园</t>
    <phoneticPr fontId="247" type="noConversion"/>
  </si>
  <si>
    <t>6月</t>
    <phoneticPr fontId="134" type="noConversion"/>
  </si>
  <si>
    <t>第三年开始每年按5%递增</t>
    <phoneticPr fontId="134" type="noConversion"/>
  </si>
  <si>
    <t>北京玖零超海儿童游乐有限公司</t>
    <phoneticPr fontId="134" type="noConversion"/>
  </si>
  <si>
    <t>少儿岩洞，探矿</t>
    <phoneticPr fontId="247" type="noConversion"/>
  </si>
  <si>
    <t>6年</t>
  </si>
  <si>
    <t>小火车</t>
    <phoneticPr fontId="247" type="noConversion"/>
  </si>
  <si>
    <t>北京满好餐饮管理有限责任公司</t>
    <phoneticPr fontId="134" type="noConversion"/>
  </si>
  <si>
    <t>三元梅园</t>
    <phoneticPr fontId="247" type="noConversion"/>
  </si>
  <si>
    <t>三元梅园库房</t>
    <phoneticPr fontId="247" type="noConversion"/>
  </si>
  <si>
    <t>2年</t>
    <phoneticPr fontId="134" type="noConversion"/>
  </si>
  <si>
    <t>固定</t>
    <phoneticPr fontId="134" type="noConversion"/>
  </si>
  <si>
    <t>无增长</t>
    <phoneticPr fontId="134" type="noConversion"/>
  </si>
  <si>
    <t>正式</t>
    <phoneticPr fontId="134" type="noConversion"/>
  </si>
  <si>
    <t>商业</t>
    <phoneticPr fontId="134" type="noConversion"/>
  </si>
  <si>
    <t>北京雾非雾餐饮有限公司</t>
    <phoneticPr fontId="134" type="noConversion"/>
  </si>
  <si>
    <t>本宫的茶</t>
    <phoneticPr fontId="247" type="noConversion"/>
  </si>
  <si>
    <t>每年按6%递增</t>
    <phoneticPr fontId="134" type="noConversion"/>
  </si>
  <si>
    <t>运达</t>
    <phoneticPr fontId="134" type="noConversion"/>
  </si>
  <si>
    <t>天好（北京）餐饮服务有限公司</t>
  </si>
  <si>
    <t>Tim Hortons</t>
    <phoneticPr fontId="247" type="noConversion"/>
  </si>
  <si>
    <t>6年</t>
    <phoneticPr fontId="134" type="noConversion"/>
  </si>
  <si>
    <t>每二年按8%递增</t>
    <phoneticPr fontId="134" type="noConversion"/>
  </si>
  <si>
    <t>北京优昂林奥体育发展有限公司</t>
    <phoneticPr fontId="134" type="noConversion"/>
  </si>
  <si>
    <t>优昂健身</t>
    <phoneticPr fontId="247" type="noConversion"/>
  </si>
  <si>
    <t>10年</t>
    <phoneticPr fontId="134" type="noConversion"/>
  </si>
  <si>
    <t>7月</t>
    <phoneticPr fontId="134" type="noConversion"/>
  </si>
  <si>
    <t>租金每2年分别递增11%、10%、9%、8%</t>
    <phoneticPr fontId="134" type="noConversion"/>
  </si>
  <si>
    <t>北京梨树下小吃店</t>
    <phoneticPr fontId="247" type="noConversion"/>
  </si>
  <si>
    <t>膳梨堂</t>
    <phoneticPr fontId="247" type="noConversion"/>
  </si>
  <si>
    <t>北京闻彰海参店</t>
    <phoneticPr fontId="247" type="noConversion"/>
  </si>
  <si>
    <t>老尹家</t>
    <phoneticPr fontId="247" type="noConversion"/>
  </si>
  <si>
    <t>北京轻与柔舞蹈艺术有限公司</t>
    <phoneticPr fontId="247" type="noConversion"/>
  </si>
  <si>
    <t>少儿舞蹈</t>
    <phoneticPr fontId="247" type="noConversion"/>
  </si>
  <si>
    <t>2月</t>
    <phoneticPr fontId="134" type="noConversion"/>
  </si>
  <si>
    <t>年递增10%、9%</t>
    <phoneticPr fontId="134" type="noConversion"/>
  </si>
  <si>
    <t>北京墨巷餐饮中心</t>
    <phoneticPr fontId="247" type="noConversion"/>
  </si>
  <si>
    <t>墨西哥餐饮及酒水饮料</t>
    <phoneticPr fontId="247" type="noConversion"/>
  </si>
  <si>
    <t>每二年按7%递增</t>
    <phoneticPr fontId="134" type="noConversion"/>
  </si>
  <si>
    <t>北京成美口腔门诊部有限公司</t>
    <phoneticPr fontId="134" type="noConversion"/>
  </si>
  <si>
    <t>赛德口腔</t>
  </si>
  <si>
    <t>8年</t>
    <phoneticPr fontId="134" type="noConversion"/>
  </si>
  <si>
    <t>每二年按5%递增</t>
    <phoneticPr fontId="134" type="noConversion"/>
  </si>
  <si>
    <t>北京吉可托育服务有限公司</t>
  </si>
  <si>
    <t>金睿家</t>
  </si>
  <si>
    <t>每二年按7%递增</t>
    <phoneticPr fontId="134" type="noConversion"/>
  </si>
  <si>
    <t>张鲁巍</t>
  </si>
  <si>
    <t>乐高，机器人，编程课程</t>
  </si>
  <si>
    <t>第3年递增17%</t>
    <phoneticPr fontId="134" type="noConversion"/>
  </si>
  <si>
    <t>北京海簋餐饮管理有限公司第一分公司</t>
    <phoneticPr fontId="134" type="noConversion"/>
  </si>
  <si>
    <t>海簋蒸汽海鲜</t>
  </si>
  <si>
    <t>6年</t>
    <phoneticPr fontId="134" type="noConversion"/>
  </si>
  <si>
    <t>租金每2年递增8%，抽成每2年分别递增5%、6%、7%</t>
  </si>
  <si>
    <t>正式</t>
    <phoneticPr fontId="134" type="noConversion"/>
  </si>
  <si>
    <t>运达</t>
    <phoneticPr fontId="134" type="noConversion"/>
  </si>
  <si>
    <t>商业</t>
    <phoneticPr fontId="134" type="noConversion"/>
  </si>
  <si>
    <t>滇香八斗（北京）餐饮管理有限公司</t>
    <phoneticPr fontId="134" type="noConversion"/>
  </si>
  <si>
    <t>云南菜特色菜</t>
  </si>
  <si>
    <t>3月</t>
    <phoneticPr fontId="134" type="noConversion"/>
  </si>
  <si>
    <t>租金每2年分别递增14%、13%，抽成每2年分别5%，6%，7%</t>
  </si>
  <si>
    <t>黎顺芳</t>
    <phoneticPr fontId="247" type="noConversion"/>
  </si>
  <si>
    <t>木北</t>
  </si>
  <si>
    <t>4月</t>
    <phoneticPr fontId="134" type="noConversion"/>
  </si>
  <si>
    <t>每2年分别递增11%，10%</t>
  </si>
  <si>
    <t>北京京华大鼎餐饮管理有限公司朝阳第一分公司</t>
    <phoneticPr fontId="134" type="noConversion"/>
  </si>
  <si>
    <t>大鼎东北菜</t>
  </si>
  <si>
    <t>租金每2年分别递增7%、6%，抽成每2年分别8%，9%，10%</t>
  </si>
  <si>
    <t>北京茶忆餐饮管理有限公司北京第一分公司</t>
    <phoneticPr fontId="247" type="noConversion"/>
  </si>
  <si>
    <t>恋爱公式</t>
  </si>
  <si>
    <t>3.5月</t>
    <phoneticPr fontId="134" type="noConversion"/>
  </si>
  <si>
    <t>第3年递增8%</t>
    <phoneticPr fontId="134" type="noConversion"/>
  </si>
  <si>
    <t>任雪</t>
  </si>
  <si>
    <t>麒麟阁涮肉</t>
  </si>
  <si>
    <t>8年</t>
    <phoneticPr fontId="134" type="noConversion"/>
  </si>
  <si>
    <t>每二年分别递增6%、6%、5%</t>
    <phoneticPr fontId="134" type="noConversion"/>
  </si>
  <si>
    <t>北京源聚盛餐饮中心</t>
    <phoneticPr fontId="134" type="noConversion"/>
  </si>
  <si>
    <t>牧场能量</t>
  </si>
  <si>
    <t>2年</t>
    <phoneticPr fontId="134" type="noConversion"/>
  </si>
  <si>
    <t>固定</t>
    <phoneticPr fontId="134" type="noConversion"/>
  </si>
  <si>
    <t>无增长</t>
    <phoneticPr fontId="134" type="noConversion"/>
  </si>
  <si>
    <t>北京我爱我家房地产经纪有限公司</t>
    <phoneticPr fontId="134" type="noConversion"/>
  </si>
  <si>
    <t>我爱我家</t>
  </si>
  <si>
    <t>北京静雅美娜健康管理有限公司</t>
    <phoneticPr fontId="134" type="noConversion"/>
  </si>
  <si>
    <t>漂亮妈妈</t>
    <phoneticPr fontId="247" type="noConversion"/>
  </si>
  <si>
    <t>每二年分别递增6%</t>
    <phoneticPr fontId="134" type="noConversion"/>
  </si>
  <si>
    <t>北京汀悦比邻家居用品有限公司</t>
    <phoneticPr fontId="134" type="noConversion"/>
  </si>
  <si>
    <t>雅赞</t>
    <phoneticPr fontId="247" type="noConversion"/>
  </si>
  <si>
    <t>第3年递增10%</t>
    <phoneticPr fontId="134" type="noConversion"/>
  </si>
  <si>
    <t>北京酷尚餐饮有限公司</t>
    <phoneticPr fontId="134" type="noConversion"/>
  </si>
  <si>
    <t>电音烤吧</t>
    <phoneticPr fontId="247" type="noConversion"/>
  </si>
  <si>
    <t>6年</t>
    <phoneticPr fontId="134" type="noConversion"/>
  </si>
  <si>
    <t>8月</t>
    <phoneticPr fontId="134" type="noConversion"/>
  </si>
  <si>
    <t>租金每两年递增1元，分别递增20%、17%，第四年开始抽成7%8%9%</t>
    <phoneticPr fontId="134" type="noConversion"/>
  </si>
  <si>
    <t>库房</t>
    <phoneticPr fontId="247" type="noConversion"/>
  </si>
  <si>
    <t>北京肯德基有限公司</t>
    <phoneticPr fontId="247" type="noConversion"/>
  </si>
  <si>
    <t>肯德基</t>
    <phoneticPr fontId="247" type="noConversion"/>
  </si>
  <si>
    <t>8年</t>
    <phoneticPr fontId="134" type="noConversion"/>
  </si>
  <si>
    <t>年度净营业额800万一下8%抽成801-1000万9%抽成1001-1300万10%抽成1300万以上11%抽成</t>
  </si>
  <si>
    <t>意百咖啡（上海）有限公司北京分公司</t>
    <phoneticPr fontId="247" type="noConversion"/>
  </si>
  <si>
    <t>LAVAZZA咖啡</t>
    <phoneticPr fontId="247" type="noConversion"/>
  </si>
  <si>
    <t>1.2年8%抽成/3.4年9%/5.6年10%/7.8年11%与固定 租金取高</t>
  </si>
  <si>
    <t>北京必胜客比萨饼有限公司</t>
    <phoneticPr fontId="247" type="noConversion"/>
  </si>
  <si>
    <t>必胜客披萨</t>
    <phoneticPr fontId="247" type="noConversion"/>
  </si>
  <si>
    <t>8年</t>
  </si>
  <si>
    <t>1.2年8%抽成/3.4年9%/5.6年10%/7.8年11%抽成收取</t>
  </si>
  <si>
    <t>北京茗扬鹊起茶艺有限公司</t>
    <phoneticPr fontId="247" type="noConversion"/>
  </si>
  <si>
    <t>茶馆，棋牌</t>
    <phoneticPr fontId="247" type="noConversion"/>
  </si>
  <si>
    <t>每二年分别递增6%、5%</t>
    <phoneticPr fontId="134" type="noConversion"/>
  </si>
  <si>
    <t>纯友丽（北京）餐饮管理有限公司</t>
    <phoneticPr fontId="134" type="noConversion"/>
  </si>
  <si>
    <t>西式烤肉西餐吧
下午茶</t>
    <phoneticPr fontId="247" type="noConversion"/>
  </si>
  <si>
    <t>租金第四年每年增加1元，增长11%、10%，抽成每两年增长5%、6%、7%</t>
    <phoneticPr fontId="134" type="noConversion"/>
  </si>
  <si>
    <t>北京蜜糖星球科技有限公司</t>
    <phoneticPr fontId="247" type="noConversion"/>
  </si>
  <si>
    <t>每年递增0.5元，每年递增10%、9%</t>
    <phoneticPr fontId="134" type="noConversion"/>
  </si>
  <si>
    <t>北京庆余年餐饮店</t>
    <phoneticPr fontId="134" type="noConversion"/>
  </si>
  <si>
    <t>啤酒</t>
    <phoneticPr fontId="247" type="noConversion"/>
  </si>
  <si>
    <t>北京链家置地房地产经纪有限公司</t>
    <phoneticPr fontId="247" type="noConversion"/>
  </si>
  <si>
    <t>链家</t>
    <phoneticPr fontId="247" type="noConversion"/>
  </si>
  <si>
    <t>4年</t>
    <phoneticPr fontId="134" type="noConversion"/>
  </si>
  <si>
    <t>两年递增6%</t>
    <phoneticPr fontId="134" type="noConversion"/>
  </si>
  <si>
    <t>郭帅</t>
    <phoneticPr fontId="247" type="noConversion"/>
  </si>
  <si>
    <t>自助盲盒销售</t>
    <phoneticPr fontId="247" type="noConversion"/>
  </si>
  <si>
    <t>无</t>
    <phoneticPr fontId="134" type="noConversion"/>
  </si>
  <si>
    <t>茶庭书道（北京）文化有限公司</t>
    <phoneticPr fontId="134" type="noConversion"/>
  </si>
  <si>
    <t>茶叶</t>
    <phoneticPr fontId="247" type="noConversion"/>
  </si>
  <si>
    <t>5月</t>
    <phoneticPr fontId="134" type="noConversion"/>
  </si>
  <si>
    <t>每两年递增5%</t>
    <phoneticPr fontId="134" type="noConversion"/>
  </si>
  <si>
    <t>姚文倩</t>
    <phoneticPr fontId="247" type="noConversion"/>
  </si>
  <si>
    <t>婚庆策划</t>
    <phoneticPr fontId="247" type="noConversion"/>
  </si>
  <si>
    <t>第二年增长0.5元，第三年增长1元，分别增长10%，18%</t>
    <phoneticPr fontId="134" type="noConversion"/>
  </si>
  <si>
    <t>星熙海体育文化发展（北京）有限责任公司</t>
    <phoneticPr fontId="247" type="noConversion"/>
  </si>
  <si>
    <t>NIN JAZONE</t>
    <phoneticPr fontId="247" type="noConversion"/>
  </si>
  <si>
    <t>每两年递增5%</t>
  </si>
  <si>
    <t>藏猫猫（北京）商贸有限公司</t>
    <phoneticPr fontId="134" type="noConversion"/>
  </si>
  <si>
    <t>猫咖、狗咖</t>
    <phoneticPr fontId="247" type="noConversion"/>
  </si>
  <si>
    <t>第三年增长0.5元，分别增长10%</t>
    <phoneticPr fontId="134" type="noConversion"/>
  </si>
  <si>
    <t>桐欣语传（北京）文化艺术有限公司</t>
    <phoneticPr fontId="247" type="noConversion"/>
  </si>
  <si>
    <t>青少年口语传播、艺术交流、口才表演</t>
    <phoneticPr fontId="247" type="noConversion"/>
  </si>
  <si>
    <t>海南艾利维森健身文化有限公司北京分公司</t>
    <phoneticPr fontId="134" type="noConversion"/>
  </si>
  <si>
    <t>瑜伽普拉提</t>
    <phoneticPr fontId="247" type="noConversion"/>
  </si>
  <si>
    <t>每年按8%递增</t>
    <phoneticPr fontId="134" type="noConversion"/>
  </si>
  <si>
    <t>中若尚合（北京）文化传播有限公司</t>
    <phoneticPr fontId="247" type="noConversion"/>
  </si>
  <si>
    <t>金豆豆爱阅读，玩具屋</t>
    <phoneticPr fontId="247" type="noConversion"/>
  </si>
  <si>
    <t>北京天阳丽晟文化产业有限公司</t>
    <phoneticPr fontId="134" type="noConversion"/>
  </si>
  <si>
    <t>舞蹈培训</t>
    <phoneticPr fontId="247" type="noConversion"/>
  </si>
  <si>
    <t>歌斯蒂（北京）形象设计有限公司</t>
    <phoneticPr fontId="134" type="noConversion"/>
  </si>
  <si>
    <t>Girl’s Day</t>
    <phoneticPr fontId="247" type="noConversion"/>
  </si>
  <si>
    <t>每两年递增6%</t>
    <phoneticPr fontId="134" type="noConversion"/>
  </si>
  <si>
    <t>北京茵赫餐饮管理有限公司</t>
    <phoneticPr fontId="134" type="noConversion"/>
  </si>
  <si>
    <t>烘焙</t>
    <phoneticPr fontId="247" type="noConversion"/>
  </si>
  <si>
    <t>2.5月</t>
    <phoneticPr fontId="134" type="noConversion"/>
  </si>
  <si>
    <t>每两年递增4.8%</t>
    <phoneticPr fontId="134" type="noConversion"/>
  </si>
  <si>
    <t>北京韵竹餐饮管理有限公司</t>
    <phoneticPr fontId="134" type="noConversion"/>
  </si>
  <si>
    <t>私房牛肉面</t>
    <phoneticPr fontId="247" type="noConversion"/>
  </si>
  <si>
    <t>4.5月</t>
    <phoneticPr fontId="134" type="noConversion"/>
  </si>
  <si>
    <t>年递增10%、9%</t>
    <phoneticPr fontId="134" type="noConversion"/>
  </si>
  <si>
    <t>量达（北京）科贸有限公司</t>
    <phoneticPr fontId="134" type="noConversion"/>
  </si>
  <si>
    <t>自助机（娃娃机、扭蛋机、唱吧）</t>
    <phoneticPr fontId="247" type="noConversion"/>
  </si>
  <si>
    <t>收入20%提成</t>
    <phoneticPr fontId="134" type="noConversion"/>
  </si>
  <si>
    <t>0.8年</t>
    <phoneticPr fontId="134" type="noConversion"/>
  </si>
  <si>
    <t>收入20%抽成</t>
    <phoneticPr fontId="134" type="noConversion"/>
  </si>
  <si>
    <t>北京味道江湖餐饮有限公司</t>
    <phoneticPr fontId="134" type="noConversion"/>
  </si>
  <si>
    <t>包烧米线</t>
    <phoneticPr fontId="247" type="noConversion"/>
  </si>
  <si>
    <t>年递增1元，分别递增7.7%，7.1%</t>
    <phoneticPr fontId="134" type="noConversion"/>
  </si>
  <si>
    <t>衡水兴诚信息技术有限公司</t>
    <phoneticPr fontId="134" type="noConversion"/>
  </si>
  <si>
    <t>按摩椅</t>
    <phoneticPr fontId="247" type="noConversion"/>
  </si>
  <si>
    <t>1年</t>
    <phoneticPr fontId="134" type="noConversion"/>
  </si>
  <si>
    <t>北京明知商贸有限公司</t>
    <phoneticPr fontId="134" type="noConversion"/>
  </si>
  <si>
    <t>亿度烧坊</t>
    <phoneticPr fontId="247" type="noConversion"/>
  </si>
  <si>
    <t>5年</t>
    <phoneticPr fontId="134" type="noConversion"/>
  </si>
  <si>
    <t>每两年递增0.5元，分别递增12.5%、11%</t>
    <phoneticPr fontId="134" type="noConversion"/>
  </si>
  <si>
    <t>北京宾客如归餐饮管理有限公司</t>
    <phoneticPr fontId="134" type="noConversion"/>
  </si>
  <si>
    <t>烤鱼，小龙虾</t>
    <phoneticPr fontId="247" type="noConversion"/>
  </si>
  <si>
    <t>租金单价每年递增1元，年递增12%、11%，抽成比例8%、9%、10%</t>
    <phoneticPr fontId="134" type="noConversion"/>
  </si>
  <si>
    <t>北京裕浓香叆食品有限公司</t>
    <phoneticPr fontId="134" type="noConversion"/>
  </si>
  <si>
    <t>面包、点心</t>
    <phoneticPr fontId="247" type="noConversion"/>
  </si>
  <si>
    <t>租金单价每年递增1元，年递增14%、12%，抽成比例10%</t>
    <phoneticPr fontId="134" type="noConversion"/>
  </si>
  <si>
    <t>北京森雾科技有限公司</t>
    <phoneticPr fontId="134" type="noConversion"/>
  </si>
  <si>
    <t>乐刻VR</t>
    <phoneticPr fontId="247" type="noConversion"/>
  </si>
  <si>
    <t>1.4年</t>
    <phoneticPr fontId="134" type="noConversion"/>
  </si>
  <si>
    <t>保乐加（北京）商贸有限公司</t>
    <phoneticPr fontId="134" type="noConversion"/>
  </si>
  <si>
    <t>红酒，洋酒，雪茄</t>
    <phoneticPr fontId="247" type="noConversion"/>
  </si>
  <si>
    <t>北京尼奥体育有限责任公司</t>
    <phoneticPr fontId="134" type="noConversion"/>
  </si>
  <si>
    <t>网球培训，体育用品销售</t>
    <phoneticPr fontId="247" type="noConversion"/>
  </si>
  <si>
    <t>第三年开始递增6%、18%，10%</t>
    <phoneticPr fontId="134" type="noConversion"/>
  </si>
  <si>
    <t>北京蒂都餐饮服务有限公司</t>
    <phoneticPr fontId="134" type="noConversion"/>
  </si>
  <si>
    <t>德式餐厅</t>
  </si>
  <si>
    <t>每两年递增1元，递增8%</t>
    <phoneticPr fontId="134" type="noConversion"/>
  </si>
  <si>
    <t>北京蒂都餐饮服务有限公司-后勤区</t>
    <phoneticPr fontId="134" type="noConversion"/>
  </si>
  <si>
    <t>德式餐厅后勤区</t>
  </si>
  <si>
    <t>北京味道沂蒙餐饮管理有限公司</t>
    <phoneticPr fontId="134" type="noConversion"/>
  </si>
  <si>
    <t>餐饮</t>
  </si>
  <si>
    <t>每年递增5%</t>
    <phoneticPr fontId="134" type="noConversion"/>
  </si>
  <si>
    <t>北京铂林北苑眼科诊所有限公司</t>
    <phoneticPr fontId="134" type="noConversion"/>
  </si>
  <si>
    <t>医疗服务</t>
  </si>
  <si>
    <t>北京威芃台球俱乐部</t>
    <phoneticPr fontId="247" type="noConversion"/>
  </si>
  <si>
    <t>台球</t>
    <phoneticPr fontId="134" type="noConversion"/>
  </si>
  <si>
    <t>每两年分别递增12.5%、11.1%</t>
    <phoneticPr fontId="134" type="noConversion"/>
  </si>
  <si>
    <t>瑞普特加勒里（北京）文化传播有限责任公司</t>
    <phoneticPr fontId="134" type="noConversion"/>
  </si>
  <si>
    <t>爬虫画廊</t>
    <phoneticPr fontId="247" type="noConversion"/>
  </si>
  <si>
    <t>门票收入60%，二次消费收入10%</t>
    <phoneticPr fontId="247" type="noConversion"/>
  </si>
  <si>
    <t>北京自如住房租赁有限公司</t>
    <phoneticPr fontId="134" type="noConversion"/>
  </si>
  <si>
    <t>房产经纪</t>
    <phoneticPr fontId="134" type="noConversion"/>
  </si>
  <si>
    <t>北京德华永胜商贸有限公司228</t>
    <phoneticPr fontId="134" type="noConversion"/>
  </si>
  <si>
    <t>茅台体验店</t>
    <phoneticPr fontId="134" type="noConversion"/>
  </si>
  <si>
    <t>9年</t>
    <phoneticPr fontId="134" type="noConversion"/>
  </si>
  <si>
    <t>7月</t>
    <phoneticPr fontId="134" type="noConversion"/>
  </si>
  <si>
    <t>每三年开始逐年递增12.5%、11%、20%、8%、7%</t>
    <phoneticPr fontId="134" type="noConversion"/>
  </si>
  <si>
    <t>北京德华永胜商贸有限公司229</t>
    <phoneticPr fontId="134" type="noConversion"/>
  </si>
  <si>
    <t>焱悦（北京）餐饮管理有限公司</t>
    <phoneticPr fontId="247" type="noConversion"/>
  </si>
  <si>
    <t>一点点</t>
    <phoneticPr fontId="134" type="noConversion"/>
  </si>
  <si>
    <t>两年递增5%</t>
    <phoneticPr fontId="134" type="noConversion"/>
  </si>
  <si>
    <t>范晶洁</t>
    <phoneticPr fontId="247" type="noConversion"/>
  </si>
  <si>
    <t>俄餐</t>
    <phoneticPr fontId="134" type="noConversion"/>
  </si>
  <si>
    <t>每两年分别递增7.6%、7.1%</t>
    <phoneticPr fontId="134" type="noConversion"/>
  </si>
  <si>
    <t>北京动感乐宫体育健身活动有限公司</t>
    <phoneticPr fontId="247" type="noConversion"/>
  </si>
  <si>
    <t>轮滑</t>
    <phoneticPr fontId="247" type="noConversion"/>
  </si>
  <si>
    <t>门票收入35%，二消收入10%</t>
    <phoneticPr fontId="134" type="noConversion"/>
  </si>
  <si>
    <t>周结</t>
    <phoneticPr fontId="247" type="noConversion"/>
  </si>
  <si>
    <t>6.5年</t>
    <phoneticPr fontId="134" type="noConversion"/>
  </si>
  <si>
    <t>安飞飞</t>
    <phoneticPr fontId="134" type="noConversion"/>
  </si>
  <si>
    <t>樊文花</t>
    <phoneticPr fontId="247" type="noConversion"/>
  </si>
  <si>
    <t>3.5月</t>
    <phoneticPr fontId="134" type="noConversion"/>
  </si>
  <si>
    <t>第三年开始递增10%</t>
    <phoneticPr fontId="134" type="noConversion"/>
  </si>
  <si>
    <t>燃动冰雪（北京）体育运动有限公司</t>
    <phoneticPr fontId="247" type="noConversion"/>
  </si>
  <si>
    <t>轮滑、平衡车</t>
    <phoneticPr fontId="134" type="noConversion"/>
  </si>
  <si>
    <t>云睿鼎祥（北京）商业有限责任公司</t>
    <phoneticPr fontId="134" type="noConversion"/>
  </si>
  <si>
    <t>琳达惠选</t>
    <phoneticPr fontId="247" type="noConversion"/>
  </si>
  <si>
    <t>每年分别递增15%、13%</t>
    <phoneticPr fontId="134" type="noConversion"/>
  </si>
  <si>
    <t>北京百济餐饮服务有限公司</t>
    <phoneticPr fontId="134" type="noConversion"/>
  </si>
  <si>
    <t>烤肉、烤鳗鱼</t>
    <phoneticPr fontId="247" type="noConversion"/>
  </si>
  <si>
    <t>北京林奥嘉年华文化发展有限公司</t>
    <phoneticPr fontId="247" type="noConversion"/>
  </si>
  <si>
    <t>儿童嘉年华</t>
    <phoneticPr fontId="134" type="noConversion"/>
  </si>
  <si>
    <t>收入10%分成</t>
    <phoneticPr fontId="134" type="noConversion"/>
  </si>
  <si>
    <t>侯德建</t>
    <phoneticPr fontId="247" type="noConversion"/>
  </si>
  <si>
    <t>高尔夫球零售</t>
    <phoneticPr fontId="247" type="noConversion"/>
  </si>
  <si>
    <t>北京今天丽人长红美甲有限公司</t>
    <phoneticPr fontId="134" type="noConversion"/>
  </si>
  <si>
    <t>美甲美睫，手部护理</t>
    <phoneticPr fontId="247" type="noConversion"/>
  </si>
  <si>
    <t>5年6个月</t>
    <phoneticPr fontId="247" type="noConversion"/>
  </si>
  <si>
    <t>北京泰雅春秋面包店</t>
    <phoneticPr fontId="247" type="noConversion"/>
  </si>
  <si>
    <t>春种秋藏手工烘焙</t>
    <phoneticPr fontId="247" type="noConversion"/>
  </si>
  <si>
    <t>年递增8%</t>
    <phoneticPr fontId="134" type="noConversion"/>
  </si>
  <si>
    <t>4年</t>
  </si>
  <si>
    <t>北京雨麟鸿餐饮管理有限公司</t>
    <phoneticPr fontId="247" type="noConversion"/>
  </si>
  <si>
    <t>日本料理</t>
    <phoneticPr fontId="247" type="noConversion"/>
  </si>
  <si>
    <t>每年递增5%</t>
  </si>
  <si>
    <t>北京小雨滴海洋文化创意有限公司</t>
    <phoneticPr fontId="247" type="noConversion"/>
  </si>
  <si>
    <t>儿童卡丁车</t>
    <phoneticPr fontId="247" type="noConversion"/>
  </si>
  <si>
    <t>收入15%分成</t>
    <phoneticPr fontId="134" type="noConversion"/>
  </si>
  <si>
    <t>1月</t>
    <phoneticPr fontId="134" type="noConversion"/>
  </si>
  <si>
    <t>收入15%分成</t>
  </si>
  <si>
    <t>北京华文桐行艺术文化有限公司</t>
    <phoneticPr fontId="247" type="noConversion"/>
  </si>
  <si>
    <t>音乐培训</t>
    <phoneticPr fontId="247" type="noConversion"/>
  </si>
  <si>
    <t>2年</t>
  </si>
  <si>
    <t>北京动因体育科技有限公司</t>
    <phoneticPr fontId="134" type="noConversion"/>
  </si>
  <si>
    <t>羽毛球、篮球培训</t>
    <phoneticPr fontId="247" type="noConversion"/>
  </si>
  <si>
    <t>张然</t>
    <phoneticPr fontId="247" type="noConversion"/>
  </si>
  <si>
    <t>铁板烧</t>
    <phoneticPr fontId="247" type="noConversion"/>
  </si>
  <si>
    <t>李俊楠</t>
    <phoneticPr fontId="247" type="noConversion"/>
  </si>
  <si>
    <r>
      <t xml:space="preserve">舞 </t>
    </r>
    <r>
      <rPr>
        <sz val="11"/>
        <color theme="1"/>
        <rFont val="Calibri"/>
        <family val="2"/>
        <charset val="161"/>
      </rPr>
      <t>π</t>
    </r>
    <r>
      <rPr>
        <sz val="12"/>
        <color theme="1"/>
        <rFont val="宋体"/>
        <family val="3"/>
        <charset val="134"/>
        <scheme val="minor"/>
      </rPr>
      <t xml:space="preserve"> 舞蹈工作室</t>
    </r>
    <phoneticPr fontId="247" type="noConversion"/>
  </si>
  <si>
    <t>每三年开始逐年递增12.5%、11%</t>
    <phoneticPr fontId="134" type="noConversion"/>
  </si>
  <si>
    <t>北京阔禹体育管理有限公司</t>
    <phoneticPr fontId="134" type="noConversion"/>
  </si>
  <si>
    <t>乒乓球培训</t>
    <phoneticPr fontId="247" type="noConversion"/>
  </si>
  <si>
    <t>逐年递增10%、9%</t>
    <phoneticPr fontId="134" type="noConversion"/>
  </si>
  <si>
    <t>可租面积</t>
  </si>
  <si>
    <t>全部签约率</t>
  </si>
  <si>
    <t>正式签约率</t>
  </si>
  <si>
    <t>意向签约率</t>
  </si>
  <si>
    <t>合计</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</si>
  <si>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</si>
  <si>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2023年3月评估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</si>
</sst>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楷体"/>
      <family val="3"/>
      <charset val="134"/>
    </font>
    <font>
      <sz val="10"/>
      <color rgb="FFE36C0A"/>
      <name val="宋体"/>
      <family val="3"/>
      <charset val="134"/>
    </font>
    <font>
      <u/>
      <sz val="11"/>
      <color theme="10"/>
      <name val="宋体"/>
      <family val="3"/>
      <charset val="134"/>
      <scheme val="minor"/>
    </font>
    <font>
      <sz val="10"/>
      <color rgb="FF000000"/>
      <name val="宋体"/>
      <family val="3"/>
      <charset val="134"/>
      <scheme val="minor"/>
    </font>
    <font>
      <sz val="10"/>
      <name val="宋体"/>
      <family val="3"/>
      <charset val="134"/>
      <scheme val="minor"/>
    </font>
    <font>
      <sz val="11"/>
      <color theme="1"/>
      <name val="Calibri"/>
      <family val="2"/>
      <charset val="161"/>
    </font>
    <font>
      <b/>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9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7" fillId="0" borderId="0" xfId="0" applyFont="1">
      <alignment vertical="center"/>
    </xf>
    <xf numFmtId="0" fontId="107" fillId="0" borderId="0" xfId="0" applyFont="1" applyFill="1">
      <alignment vertical="center"/>
    </xf>
    <xf numFmtId="0" fontId="77" fillId="12" borderId="0" xfId="0" applyFont="1" applyFill="1" applyAlignment="1" applyProtection="1">
      <alignment vertical="center"/>
      <protection locked="0"/>
    </xf>
    <xf numFmtId="0" fontId="47" fillId="22" borderId="0" xfId="0" applyFont="1" applyFill="1" applyAlignment="1" applyProtection="1">
      <alignment vertical="center"/>
      <protection locked="0"/>
    </xf>
    <xf numFmtId="1" fontId="159" fillId="0" borderId="0" xfId="12" applyNumberFormat="1" applyAlignment="1" applyProtection="1">
      <alignment horizontal="left"/>
      <protection locked="0"/>
    </xf>
    <xf numFmtId="181" fontId="159" fillId="0" borderId="0" xfId="17" applyNumberFormat="1" applyFont="1" applyAlignment="1" applyProtection="1">
      <alignment horizontal="left"/>
      <protection locked="0"/>
    </xf>
    <xf numFmtId="181" fontId="47" fillId="18" borderId="10"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0" fontId="122" fillId="0" borderId="0" xfId="0" applyFont="1">
      <alignment vertical="center"/>
    </xf>
    <xf numFmtId="0" fontId="122" fillId="0" borderId="179" xfId="0" applyFont="1" applyBorder="1" applyAlignment="1">
      <alignment vertical="center" wrapText="1"/>
    </xf>
    <xf numFmtId="0" fontId="122" fillId="0" borderId="177" xfId="0" applyFont="1" applyBorder="1" applyAlignment="1">
      <alignment vertical="center" wrapText="1"/>
    </xf>
    <xf numFmtId="0" fontId="122" fillId="0" borderId="180" xfId="0" applyFont="1" applyBorder="1" applyAlignment="1">
      <alignment vertical="center" wrapText="1"/>
    </xf>
    <xf numFmtId="0" fontId="122" fillId="0" borderId="181" xfId="0" applyFont="1" applyBorder="1" applyAlignment="1">
      <alignment vertical="center" wrapText="1"/>
    </xf>
    <xf numFmtId="0" fontId="107" fillId="16" borderId="0" xfId="0" applyFont="1" applyFill="1">
      <alignment vertical="center"/>
    </xf>
    <xf numFmtId="0" fontId="147" fillId="7" borderId="0" xfId="0" applyFont="1" applyFill="1">
      <alignment vertical="center"/>
    </xf>
    <xf numFmtId="0" fontId="107" fillId="7" borderId="1" xfId="0" applyFont="1" applyFill="1" applyBorder="1" applyAlignment="1">
      <alignment horizontal="center" vertical="center"/>
    </xf>
    <xf numFmtId="196"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center" vertical="center"/>
    </xf>
    <xf numFmtId="0" fontId="107" fillId="7" borderId="1" xfId="0" applyFont="1" applyFill="1" applyBorder="1" applyAlignment="1">
      <alignment horizontal="left" vertical="center" wrapText="1"/>
    </xf>
    <xf numFmtId="0" fontId="147" fillId="7" borderId="1" xfId="0" applyFont="1" applyFill="1" applyBorder="1">
      <alignment vertical="center"/>
    </xf>
    <xf numFmtId="0" fontId="107" fillId="7" borderId="1" xfId="0" applyFont="1" applyFill="1" applyBorder="1" applyAlignment="1">
      <alignment vertical="center" wrapText="1"/>
    </xf>
    <xf numFmtId="177" fontId="107" fillId="7" borderId="1" xfId="0" applyNumberFormat="1" applyFont="1" applyFill="1" applyBorder="1" applyAlignment="1">
      <alignment horizontal="right" vertical="center" wrapText="1"/>
    </xf>
    <xf numFmtId="43" fontId="107" fillId="7" borderId="1" xfId="0" applyNumberFormat="1" applyFont="1" applyFill="1" applyBorder="1" applyAlignment="1">
      <alignment horizontal="left" vertical="center"/>
    </xf>
    <xf numFmtId="43"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center" vertical="center" wrapText="1"/>
    </xf>
    <xf numFmtId="196" fontId="107" fillId="7" borderId="1" xfId="0" applyNumberFormat="1" applyFont="1" applyFill="1" applyBorder="1" applyAlignment="1">
      <alignment horizontal="right" vertical="center"/>
    </xf>
    <xf numFmtId="0" fontId="107" fillId="7" borderId="1" xfId="0" applyFont="1" applyFill="1" applyBorder="1" applyAlignment="1">
      <alignment horizontal="center" vertical="center" wrapText="1"/>
    </xf>
    <xf numFmtId="43"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left" vertical="center" wrapText="1"/>
    </xf>
    <xf numFmtId="9" fontId="107" fillId="7" borderId="1" xfId="0" applyNumberFormat="1" applyFont="1" applyFill="1" applyBorder="1" applyAlignment="1">
      <alignment horizontal="center" vertical="center"/>
    </xf>
    <xf numFmtId="0" fontId="107" fillId="7" borderId="1" xfId="19" applyFont="1" applyFill="1" applyBorder="1" applyAlignment="1" applyProtection="1">
      <alignment horizontal="center" vertical="center" wrapText="1"/>
    </xf>
    <xf numFmtId="196" fontId="107" fillId="7" borderId="1" xfId="0" applyNumberFormat="1" applyFont="1" applyFill="1" applyBorder="1" applyAlignment="1">
      <alignment horizontal="right" vertical="center" wrapText="1"/>
    </xf>
    <xf numFmtId="0" fontId="107" fillId="5" borderId="1" xfId="0" applyFont="1" applyFill="1" applyBorder="1" applyAlignment="1">
      <alignment horizontal="center" vertical="center"/>
    </xf>
    <xf numFmtId="0" fontId="107" fillId="5" borderId="1" xfId="19" applyFont="1" applyFill="1" applyBorder="1" applyAlignment="1" applyProtection="1">
      <alignment horizontal="left" vertical="center" wrapText="1"/>
    </xf>
    <xf numFmtId="0" fontId="107" fillId="5" borderId="1" xfId="19" applyFont="1" applyFill="1" applyBorder="1" applyAlignment="1" applyProtection="1">
      <alignment vertical="center" wrapText="1"/>
    </xf>
    <xf numFmtId="177" fontId="107" fillId="5" borderId="1" xfId="19" applyNumberFormat="1" applyFont="1" applyFill="1" applyBorder="1" applyAlignment="1" applyProtection="1">
      <alignment horizontal="right" vertical="center" wrapText="1"/>
    </xf>
    <xf numFmtId="43" fontId="107" fillId="5" borderId="1" xfId="0" applyNumberFormat="1" applyFont="1" applyFill="1" applyBorder="1" applyAlignment="1">
      <alignment horizontal="left" vertical="center"/>
    </xf>
    <xf numFmtId="43" fontId="107" fillId="5" borderId="1" xfId="0" applyNumberFormat="1" applyFont="1" applyFill="1" applyBorder="1" applyAlignment="1">
      <alignment horizontal="left" vertical="center" wrapText="1"/>
    </xf>
    <xf numFmtId="196" fontId="107" fillId="5" borderId="1" xfId="19" applyNumberFormat="1" applyFont="1" applyFill="1" applyBorder="1" applyAlignment="1" applyProtection="1">
      <alignment horizontal="center" vertical="center" wrapText="1"/>
    </xf>
    <xf numFmtId="196" fontId="107" fillId="5" borderId="1" xfId="19" applyNumberFormat="1" applyFont="1" applyFill="1" applyBorder="1" applyAlignment="1" applyProtection="1">
      <alignment horizontal="right" vertical="center" wrapText="1"/>
    </xf>
    <xf numFmtId="0" fontId="272" fillId="5" borderId="1" xfId="0" applyFont="1" applyFill="1" applyBorder="1" applyAlignment="1">
      <alignment horizontal="center" vertical="center" wrapText="1"/>
    </xf>
    <xf numFmtId="43" fontId="107" fillId="5" borderId="1" xfId="0" applyNumberFormat="1" applyFont="1" applyFill="1" applyBorder="1" applyAlignment="1">
      <alignment horizontal="center" vertical="center"/>
    </xf>
    <xf numFmtId="196" fontId="107" fillId="5" borderId="1" xfId="0" applyNumberFormat="1" applyFont="1" applyFill="1" applyBorder="1" applyAlignment="1">
      <alignment horizontal="center" vertical="center"/>
    </xf>
    <xf numFmtId="14" fontId="107" fillId="5" borderId="1" xfId="0" applyNumberFormat="1" applyFont="1" applyFill="1" applyBorder="1" applyAlignment="1">
      <alignment horizontal="left" vertical="center" wrapText="1"/>
    </xf>
    <xf numFmtId="9" fontId="107" fillId="5" borderId="1" xfId="0" applyNumberFormat="1" applyFont="1" applyFill="1" applyBorder="1" applyAlignment="1">
      <alignment horizontal="center" vertical="center"/>
    </xf>
    <xf numFmtId="0" fontId="107" fillId="5" borderId="1" xfId="19" applyFont="1" applyFill="1" applyBorder="1" applyAlignment="1" applyProtection="1">
      <alignment horizontal="center" vertical="center" wrapText="1"/>
    </xf>
    <xf numFmtId="0" fontId="147" fillId="5" borderId="1" xfId="0" applyFont="1" applyFill="1" applyBorder="1">
      <alignment vertical="center"/>
    </xf>
    <xf numFmtId="0" fontId="147" fillId="5" borderId="0" xfId="0" applyFont="1" applyFill="1">
      <alignment vertical="center"/>
    </xf>
    <xf numFmtId="14" fontId="107" fillId="7" borderId="1" xfId="0" applyNumberFormat="1" applyFont="1" applyFill="1" applyBorder="1" applyAlignment="1">
      <alignment vertical="center" wrapText="1"/>
    </xf>
    <xf numFmtId="196" fontId="107" fillId="7" borderId="1" xfId="19" applyNumberFormat="1" applyFont="1" applyFill="1" applyBorder="1" applyAlignment="1" applyProtection="1">
      <alignment horizontal="right" vertical="center" wrapText="1"/>
    </xf>
    <xf numFmtId="0" fontId="272" fillId="7" borderId="1" xfId="0" applyFont="1" applyFill="1" applyBorder="1" applyAlignment="1">
      <alignment horizontal="center" vertical="center" wrapText="1"/>
    </xf>
    <xf numFmtId="14" fontId="107" fillId="7" borderId="1" xfId="0" applyNumberFormat="1" applyFont="1" applyFill="1" applyBorder="1" applyAlignment="1">
      <alignment horizontal="center" vertical="center" wrapText="1"/>
    </xf>
    <xf numFmtId="0" fontId="107" fillId="5" borderId="1" xfId="0" applyFont="1" applyFill="1" applyBorder="1" applyAlignment="1">
      <alignment horizontal="left" vertical="center" wrapText="1"/>
    </xf>
    <xf numFmtId="14" fontId="107" fillId="5" borderId="1" xfId="0" applyNumberFormat="1" applyFont="1" applyFill="1" applyBorder="1" applyAlignment="1">
      <alignment vertical="center" wrapText="1"/>
    </xf>
    <xf numFmtId="177" fontId="107" fillId="5" borderId="1" xfId="0" applyNumberFormat="1" applyFont="1" applyFill="1" applyBorder="1" applyAlignment="1">
      <alignment horizontal="right" vertical="center" wrapText="1"/>
    </xf>
    <xf numFmtId="14" fontId="107" fillId="5" borderId="1" xfId="0" applyNumberFormat="1" applyFont="1" applyFill="1" applyBorder="1" applyAlignment="1">
      <alignment horizontal="center" vertical="center" wrapText="1"/>
    </xf>
    <xf numFmtId="196" fontId="107" fillId="7" borderId="1" xfId="19" applyNumberFormat="1" applyFont="1" applyFill="1" applyBorder="1" applyAlignment="1" applyProtection="1">
      <alignment horizontal="center" vertical="center" wrapText="1"/>
    </xf>
    <xf numFmtId="0" fontId="107" fillId="7" borderId="1" xfId="0" applyFont="1" applyFill="1" applyBorder="1">
      <alignment vertical="center"/>
    </xf>
    <xf numFmtId="43" fontId="107" fillId="7" borderId="1" xfId="0" applyNumberFormat="1" applyFont="1" applyFill="1" applyBorder="1" applyAlignment="1">
      <alignment horizontal="right" vertical="center"/>
    </xf>
    <xf numFmtId="43" fontId="107" fillId="7" borderId="5" xfId="0" applyNumberFormat="1" applyFont="1" applyFill="1" applyBorder="1" applyAlignment="1">
      <alignment horizontal="left" vertical="center"/>
    </xf>
    <xf numFmtId="43" fontId="107" fillId="7" borderId="1" xfId="0" applyNumberFormat="1" applyFont="1" applyFill="1" applyBorder="1">
      <alignment vertical="center"/>
    </xf>
    <xf numFmtId="177" fontId="107" fillId="7" borderId="1" xfId="0" applyNumberFormat="1" applyFont="1" applyFill="1" applyBorder="1" applyAlignment="1">
      <alignment horizontal="center" vertical="center"/>
    </xf>
    <xf numFmtId="41" fontId="107" fillId="7" borderId="1" xfId="0" applyNumberFormat="1" applyFont="1" applyFill="1" applyBorder="1" applyAlignment="1">
      <alignment horizontal="center" vertical="center"/>
    </xf>
    <xf numFmtId="0" fontId="107" fillId="7" borderId="0" xfId="0" applyFont="1" applyFill="1">
      <alignment vertical="center"/>
    </xf>
    <xf numFmtId="0" fontId="95" fillId="7" borderId="1" xfId="0" applyFont="1" applyFill="1" applyBorder="1" applyAlignment="1">
      <alignment vertical="center" wrapText="1"/>
    </xf>
    <xf numFmtId="43" fontId="0" fillId="7" borderId="1" xfId="0" applyNumberFormat="1" applyFont="1" applyFill="1" applyBorder="1" applyAlignment="1">
      <alignment horizontal="left" vertical="center"/>
    </xf>
    <xf numFmtId="9" fontId="107" fillId="7" borderId="1" xfId="17" applyFont="1" applyFill="1" applyBorder="1" applyAlignment="1">
      <alignment horizontal="center" vertical="center"/>
    </xf>
    <xf numFmtId="0" fontId="95" fillId="7" borderId="2" xfId="0" applyFont="1" applyFill="1" applyBorder="1" applyAlignment="1">
      <alignment horizontal="left" vertical="center" wrapText="1"/>
    </xf>
    <xf numFmtId="43" fontId="0" fillId="7" borderId="1" xfId="0" applyNumberFormat="1" applyFont="1" applyFill="1" applyBorder="1" applyAlignment="1">
      <alignment vertical="center"/>
    </xf>
    <xf numFmtId="196" fontId="0" fillId="7" borderId="1" xfId="0" applyNumberFormat="1" applyFont="1" applyFill="1" applyBorder="1" applyAlignment="1">
      <alignment vertical="center"/>
    </xf>
    <xf numFmtId="196" fontId="0" fillId="7" borderId="1" xfId="0" applyNumberFormat="1" applyFont="1" applyFill="1" applyBorder="1" applyAlignment="1">
      <alignment vertical="center" wrapText="1"/>
    </xf>
    <xf numFmtId="0" fontId="95" fillId="7" borderId="1" xfId="0" applyFont="1" applyFill="1" applyBorder="1" applyAlignment="1">
      <alignment horizontal="center" vertical="center" wrapText="1"/>
    </xf>
    <xf numFmtId="0" fontId="95" fillId="7" borderId="1" xfId="0" applyFont="1" applyFill="1" applyBorder="1" applyAlignment="1">
      <alignment horizontal="left" vertical="center" wrapText="1"/>
    </xf>
    <xf numFmtId="196" fontId="95" fillId="7" borderId="1" xfId="0" applyNumberFormat="1" applyFont="1" applyFill="1" applyBorder="1" applyAlignment="1">
      <alignment vertical="center" wrapText="1"/>
    </xf>
    <xf numFmtId="43" fontId="0" fillId="7" borderId="2" xfId="0" applyNumberFormat="1" applyFill="1" applyBorder="1" applyAlignment="1">
      <alignment horizontal="center" vertical="center" wrapText="1"/>
    </xf>
    <xf numFmtId="0" fontId="0" fillId="7" borderId="1" xfId="0" applyFont="1" applyFill="1" applyBorder="1" applyAlignment="1">
      <alignment vertical="center" wrapText="1"/>
    </xf>
    <xf numFmtId="41" fontId="95" fillId="7" borderId="1" xfId="0" applyNumberFormat="1" applyFont="1" applyFill="1" applyBorder="1" applyAlignment="1">
      <alignment vertical="center"/>
    </xf>
    <xf numFmtId="9" fontId="107" fillId="7" borderId="1" xfId="17" applyNumberFormat="1" applyFont="1" applyFill="1" applyBorder="1" applyAlignment="1">
      <alignment horizontal="center" vertical="center"/>
    </xf>
    <xf numFmtId="49" fontId="107" fillId="7" borderId="1" xfId="0" applyNumberFormat="1" applyFont="1" applyFill="1" applyBorder="1" applyAlignment="1">
      <alignment horizontal="left" vertical="center" wrapText="1"/>
    </xf>
    <xf numFmtId="0" fontId="0" fillId="7" borderId="1" xfId="0" applyNumberFormat="1" applyFont="1" applyFill="1" applyBorder="1" applyAlignment="1">
      <alignment vertical="center" wrapText="1"/>
    </xf>
    <xf numFmtId="0"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left" vertical="center"/>
    </xf>
    <xf numFmtId="185" fontId="107" fillId="7" borderId="1" xfId="0" applyNumberFormat="1" applyFont="1" applyFill="1" applyBorder="1" applyAlignment="1">
      <alignment horizontal="center" vertical="center"/>
    </xf>
    <xf numFmtId="49" fontId="107" fillId="7" borderId="1" xfId="0" applyNumberFormat="1" applyFont="1" applyFill="1" applyBorder="1" applyAlignment="1">
      <alignment horizontal="center" vertical="center" wrapText="1"/>
    </xf>
    <xf numFmtId="0" fontId="107" fillId="7" borderId="0" xfId="0" applyFont="1" applyFill="1" applyAlignment="1">
      <alignment horizontal="left" vertical="center"/>
    </xf>
    <xf numFmtId="43" fontId="273" fillId="7" borderId="1" xfId="0" applyNumberFormat="1" applyFont="1" applyFill="1" applyBorder="1" applyAlignment="1">
      <alignment horizontal="right" vertical="center"/>
    </xf>
    <xf numFmtId="0" fontId="107" fillId="7" borderId="1" xfId="0" applyFont="1" applyFill="1" applyBorder="1" applyAlignment="1">
      <alignment horizontal="left" vertical="center"/>
    </xf>
    <xf numFmtId="14" fontId="269" fillId="7" borderId="1" xfId="0" applyNumberFormat="1" applyFont="1" applyFill="1" applyBorder="1" applyAlignment="1">
      <alignment horizontal="left" vertical="center" wrapText="1"/>
    </xf>
    <xf numFmtId="43" fontId="269" fillId="7" borderId="1" xfId="0" applyNumberFormat="1" applyFont="1" applyFill="1" applyBorder="1" applyAlignment="1">
      <alignment horizontal="right" vertical="center"/>
    </xf>
    <xf numFmtId="0" fontId="269" fillId="7" borderId="1" xfId="0" applyFont="1" applyFill="1" applyBorder="1" applyAlignment="1">
      <alignment horizontal="left" vertical="center" wrapText="1"/>
    </xf>
    <xf numFmtId="14" fontId="0" fillId="7" borderId="1" xfId="0" applyNumberFormat="1" applyFont="1" applyFill="1" applyBorder="1" applyAlignment="1">
      <alignment vertical="center" wrapText="1"/>
    </xf>
    <xf numFmtId="0" fontId="147" fillId="7" borderId="1" xfId="0" applyNumberFormat="1" applyFont="1" applyFill="1" applyBorder="1" applyAlignment="1">
      <alignment horizontal="center" vertical="center" wrapText="1"/>
    </xf>
    <xf numFmtId="14" fontId="0" fillId="7" borderId="1" xfId="0" applyNumberFormat="1" applyFont="1" applyFill="1" applyBorder="1" applyAlignment="1">
      <alignment horizontal="center" vertical="center"/>
    </xf>
    <xf numFmtId="9" fontId="107" fillId="7" borderId="1" xfId="0" applyNumberFormat="1" applyFont="1" applyFill="1" applyBorder="1" applyAlignment="1">
      <alignment horizontal="center" vertical="center" wrapText="1"/>
    </xf>
    <xf numFmtId="0" fontId="107" fillId="7" borderId="2" xfId="0" applyFont="1" applyFill="1" applyBorder="1" applyAlignment="1">
      <alignment vertical="center" wrapText="1"/>
    </xf>
    <xf numFmtId="0" fontId="273" fillId="7" borderId="2" xfId="0" applyFont="1" applyFill="1" applyBorder="1" applyAlignment="1">
      <alignment vertical="center" wrapText="1"/>
    </xf>
    <xf numFmtId="0" fontId="147" fillId="7" borderId="1" xfId="0" applyFont="1" applyFill="1" applyBorder="1" applyAlignment="1">
      <alignment horizontal="left" vertical="center" wrapText="1"/>
    </xf>
    <xf numFmtId="0" fontId="0" fillId="7" borderId="1" xfId="0" applyFont="1" applyFill="1" applyBorder="1" applyAlignment="1">
      <alignment horizontal="left" vertical="center" wrapText="1"/>
    </xf>
    <xf numFmtId="0" fontId="107" fillId="7" borderId="2" xfId="0" applyFont="1" applyFill="1" applyBorder="1" applyAlignment="1">
      <alignment horizontal="left" vertical="center" wrapText="1"/>
    </xf>
    <xf numFmtId="14" fontId="147" fillId="7" borderId="1" xfId="0" applyNumberFormat="1" applyFont="1" applyFill="1" applyBorder="1" applyAlignment="1">
      <alignment vertical="center" wrapText="1"/>
    </xf>
    <xf numFmtId="41" fontId="0" fillId="7" borderId="1" xfId="0" applyNumberFormat="1" applyFont="1" applyFill="1" applyBorder="1" applyAlignment="1">
      <alignment vertical="center"/>
    </xf>
    <xf numFmtId="196" fontId="273" fillId="7" borderId="1" xfId="0" applyNumberFormat="1" applyFont="1" applyFill="1" applyBorder="1" applyAlignment="1">
      <alignment horizontal="center"/>
    </xf>
    <xf numFmtId="10" fontId="107" fillId="7" borderId="1" xfId="0" applyNumberFormat="1" applyFont="1" applyFill="1" applyBorder="1" applyAlignment="1">
      <alignment horizontal="right" vertical="center"/>
    </xf>
    <xf numFmtId="176" fontId="273" fillId="7" borderId="5" xfId="0" applyNumberFormat="1" applyFont="1" applyFill="1" applyBorder="1" applyAlignment="1">
      <alignment horizontal="right"/>
    </xf>
    <xf numFmtId="176" fontId="273" fillId="7" borderId="1" xfId="0" applyNumberFormat="1" applyFont="1" applyFill="1" applyBorder="1" applyAlignment="1">
      <alignment horizontal="center"/>
    </xf>
    <xf numFmtId="176" fontId="273" fillId="7" borderId="1" xfId="0" applyNumberFormat="1" applyFont="1" applyFill="1" applyBorder="1" applyAlignment="1">
      <alignment horizontal="left" wrapText="1"/>
    </xf>
    <xf numFmtId="176" fontId="275" fillId="7" borderId="1" xfId="0" applyNumberFormat="1" applyFont="1" applyFill="1" applyBorder="1" applyAlignment="1">
      <alignment horizontal="center"/>
    </xf>
    <xf numFmtId="177" fontId="112" fillId="7" borderId="1" xfId="0" applyNumberFormat="1" applyFont="1" applyFill="1" applyBorder="1" applyAlignment="1">
      <alignment horizontal="center" vertical="center" wrapText="1"/>
    </xf>
    <xf numFmtId="176" fontId="275" fillId="7" borderId="1" xfId="0" applyNumberFormat="1" applyFont="1" applyFill="1" applyBorder="1" applyAlignment="1">
      <alignment horizontal="right"/>
    </xf>
    <xf numFmtId="176" fontId="275" fillId="7" borderId="5" xfId="0" applyNumberFormat="1" applyFont="1" applyFill="1" applyBorder="1" applyAlignment="1">
      <alignment horizontal="right"/>
    </xf>
    <xf numFmtId="43" fontId="112" fillId="7" borderId="1" xfId="0" applyNumberFormat="1" applyFont="1" applyFill="1" applyBorder="1" applyAlignment="1">
      <alignment horizontal="left" vertical="center"/>
    </xf>
    <xf numFmtId="196" fontId="147" fillId="7" borderId="1" xfId="0" applyNumberFormat="1" applyFont="1" applyFill="1" applyBorder="1" applyAlignment="1">
      <alignment horizontal="center" vertical="center"/>
    </xf>
    <xf numFmtId="10" fontId="273" fillId="7" borderId="1" xfId="0" applyNumberFormat="1" applyFont="1" applyFill="1" applyBorder="1" applyAlignment="1">
      <alignment horizontal="center"/>
    </xf>
    <xf numFmtId="0" fontId="147" fillId="7" borderId="0" xfId="0" applyFont="1" applyFill="1" applyAlignment="1">
      <alignment horizontal="center" vertical="center"/>
    </xf>
    <xf numFmtId="0" fontId="147" fillId="7" borderId="0" xfId="0" applyFont="1" applyFill="1" applyAlignment="1">
      <alignment horizontal="left" vertical="center"/>
    </xf>
    <xf numFmtId="196" fontId="147" fillId="7" borderId="0" xfId="0" applyNumberFormat="1" applyFont="1" applyFill="1" applyAlignment="1">
      <alignment horizontal="center" vertical="center"/>
    </xf>
    <xf numFmtId="196" fontId="147" fillId="7" borderId="0" xfId="0" applyNumberFormat="1" applyFont="1" applyFill="1">
      <alignment vertical="center"/>
    </xf>
    <xf numFmtId="0" fontId="147" fillId="7" borderId="0" xfId="0" applyFont="1" applyFill="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2" fillId="0" borderId="182" xfId="0" applyFont="1" applyBorder="1" applyAlignment="1">
      <alignment vertical="center" wrapText="1"/>
    </xf>
    <xf numFmtId="0" fontId="122" fillId="0" borderId="178" xfId="0" applyFont="1" applyBorder="1" applyAlignment="1">
      <alignment vertical="center" wrapText="1"/>
    </xf>
    <xf numFmtId="0" fontId="122" fillId="0" borderId="176" xfId="0" applyFont="1" applyBorder="1" applyAlignment="1">
      <alignment vertical="center" wrapText="1"/>
    </xf>
    <xf numFmtId="0" fontId="122" fillId="0" borderId="177" xfId="0" applyFont="1" applyBorder="1" applyAlignment="1">
      <alignment vertical="center" wrapText="1"/>
    </xf>
    <xf numFmtId="0" fontId="270" fillId="0" borderId="182" xfId="0" applyFont="1" applyBorder="1" applyAlignment="1">
      <alignment vertical="center" wrapText="1"/>
    </xf>
    <xf numFmtId="0" fontId="270" fillId="0" borderId="178" xfId="0" applyFont="1" applyBorder="1" applyAlignment="1">
      <alignment vertical="center" wrapText="1"/>
    </xf>
    <xf numFmtId="0" fontId="116" fillId="7" borderId="5" xfId="0" applyFont="1" applyFill="1" applyBorder="1" applyAlignment="1">
      <alignment horizontal="center" vertical="center"/>
    </xf>
    <xf numFmtId="0" fontId="116" fillId="7" borderId="54" xfId="0" applyFont="1" applyFill="1" applyBorder="1" applyAlignment="1">
      <alignment horizontal="center" vertical="center"/>
    </xf>
    <xf numFmtId="0" fontId="116" fillId="7" borderId="36" xfId="0" applyFont="1" applyFill="1" applyBorder="1" applyAlignment="1">
      <alignment horizontal="center" vertical="center"/>
    </xf>
    <xf numFmtId="0" fontId="116" fillId="7" borderId="22" xfId="0" applyFont="1" applyFill="1" applyBorder="1" applyAlignment="1">
      <alignment horizontal="center" vertical="center"/>
    </xf>
    <xf numFmtId="14" fontId="107" fillId="7" borderId="1" xfId="0" applyNumberFormat="1" applyFont="1" applyFill="1" applyBorder="1" applyAlignment="1">
      <alignment horizontal="center" vertical="center" wrapText="1"/>
    </xf>
    <xf numFmtId="177" fontId="107" fillId="7" borderId="13" xfId="0" applyNumberFormat="1" applyFont="1" applyFill="1" applyBorder="1" applyAlignment="1">
      <alignment horizontal="center" vertical="center" wrapText="1"/>
    </xf>
    <xf numFmtId="177" fontId="107" fillId="7" borderId="15" xfId="0" applyNumberFormat="1" applyFont="1" applyFill="1" applyBorder="1" applyAlignment="1">
      <alignment horizontal="center" vertical="center" wrapText="1"/>
    </xf>
    <xf numFmtId="177" fontId="107" fillId="7" borderId="2" xfId="0" applyNumberFormat="1" applyFont="1" applyFill="1" applyBorder="1" applyAlignment="1">
      <alignment horizontal="center" vertical="center" wrapText="1"/>
    </xf>
    <xf numFmtId="14" fontId="112" fillId="7" borderId="1" xfId="0" applyNumberFormat="1" applyFont="1" applyFill="1" applyBorder="1" applyAlignment="1">
      <alignment horizontal="center" vertical="center" wrapText="1"/>
    </xf>
    <xf numFmtId="181" fontId="47" fillId="18" borderId="1" xfId="0" applyNumberFormat="1" applyFont="1" applyFill="1" applyBorder="1" applyAlignment="1" applyProtection="1">
      <alignment vertical="center"/>
      <protection locked="0"/>
    </xf>
    <xf numFmtId="10" fontId="44" fillId="18" borderId="1" xfId="0"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7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299;&#22269;&#26126;/&#24050;&#24402;&#26723;/2022/2022-1-0123&#26519;&#22885;&#22025;&#22253;/F01DYGJ2/&#26368;&#32456;/P01DYGJ2/&#26368;&#32456;/2022-1-0123-P01DYGJ2&#26519;&#22885;&#22025;&#2225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299;&#22269;&#26126;/&#24050;&#24402;&#26723;/2022/2022-1-0123&#26519;&#22885;&#22025;&#22253;/F01DYGJ2/&#26368;&#32456;/2023&#26519;&#22885;&#22025;&#22253;&#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299;&#22269;&#26126;/&#24050;&#24402;&#26723;/2022/2022-1-0123&#26519;&#22885;&#22025;&#22253;/F01DYGJ2/&#26368;&#32456;/&#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车库"/>
      <sheetName val="成本法-地下车库"/>
      <sheetName val="收益法-地下车库"/>
      <sheetName val="结果表-地下商业2"/>
      <sheetName val="成本法-地下商业2"/>
      <sheetName val="收益法-地下商业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86012</v>
          </cell>
        </row>
        <row r="15">
          <cell r="K15">
            <v>77590</v>
          </cell>
        </row>
        <row r="17">
          <cell r="K17">
            <v>27188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商业2"/>
      <sheetName val="成本法-地下商业2"/>
      <sheetName val="收益法-地下商业2"/>
      <sheetName val="结果表-地下车库"/>
      <sheetName val="成本法-地下车库"/>
      <sheetName val="收益法-地下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80938</v>
          </cell>
        </row>
        <row r="15">
          <cell r="D15">
            <v>53522</v>
          </cell>
        </row>
        <row r="16">
          <cell r="D16">
            <v>27026</v>
          </cell>
        </row>
        <row r="17">
          <cell r="D17">
            <v>20815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估价对象为北京市房地产，为所有。根据《国有土地使用证》[]，估价对象（分摊）出让国有建设用地使用权面积为12540.52平方米，建筑面积为99232.33平方米。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估价对象为北京市房地产,属开发建设的，该项目尚在开发建设中。根据《国有土地使用证》[]，估价对象（分摊）出让国有建设用地使用权面积为12540.52平方米，规划建筑面积为99232.33平方米。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2023年6月9日</v>
      </c>
    </row>
    <row r="13" spans="1:2" s="1199" customFormat="1">
      <c r="A13" s="1197" t="s">
        <v>529</v>
      </c>
      <c r="B13" s="1198" t="str">
        <f>'预评函-1'!A18</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6.2" thickBot="1">
      <c r="A18" s="1200" t="s">
        <v>534</v>
      </c>
      <c r="B18" s="1201" t="str">
        <f>'预评函-1'!A24</f>
        <v>本次评估采用的主估价方法为成本法和收益法。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81210</v>
      </c>
    </row>
    <row r="21" spans="1:2" s="1199" customFormat="1">
      <c r="A21" s="1197" t="s">
        <v>537</v>
      </c>
      <c r="B21" s="1198">
        <f ca="1">'预评函-2'!D7</f>
        <v>40953</v>
      </c>
    </row>
    <row r="22" spans="1:2" s="1199" customFormat="1">
      <c r="A22" s="1197" t="s">
        <v>538</v>
      </c>
      <c r="B22" s="1198" t="str">
        <f ca="1">'预评函-2'!D6</f>
        <v>捌亿壹仟贰佰壹拾万元整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81210</v>
      </c>
    </row>
    <row r="31" spans="1:2" s="1199" customFormat="1">
      <c r="A31" s="1197" t="s">
        <v>576</v>
      </c>
      <c r="B31" s="1198">
        <f ca="1">'预评函-2'!D15</f>
        <v>40953</v>
      </c>
    </row>
    <row r="32" spans="1:2" s="1199" customFormat="1">
      <c r="A32" s="1197" t="s">
        <v>543</v>
      </c>
      <c r="B32" s="1198" t="str">
        <f ca="1">'预评函-2'!D14</f>
        <v>捌亿壹仟贰佰壹拾万元整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ht="31.2">
      <c r="A42" s="1197" t="s">
        <v>590</v>
      </c>
      <c r="B42" s="1198" t="str">
        <f>'预评函-3'!B2</f>
        <v>建筑面积</v>
      </c>
    </row>
    <row r="43" spans="1:2" s="1199" customFormat="1">
      <c r="A43" s="1197" t="s">
        <v>591</v>
      </c>
      <c r="B43" s="1198">
        <f>'预评函-3'!B4</f>
        <v>99232.329999999987</v>
      </c>
    </row>
    <row r="44" spans="1:2" s="1199" customFormat="1" ht="31.2">
      <c r="A44" s="1197" t="s">
        <v>575</v>
      </c>
      <c r="B44" s="1198" t="str">
        <f>'预评函-3'!C2</f>
        <v>(分摊)土地面积</v>
      </c>
    </row>
    <row r="45" spans="1:2" s="1199" customFormat="1">
      <c r="A45" s="1197" t="s">
        <v>547</v>
      </c>
      <c r="B45" s="1198">
        <f>'预评函-3'!C4</f>
        <v>12540.52</v>
      </c>
    </row>
    <row r="46" spans="1:2" s="1199" customFormat="1">
      <c r="A46" s="1197" t="s">
        <v>573</v>
      </c>
      <c r="B46" s="1198" t="str">
        <f>'预评函-3'!D2</f>
        <v>出让国有建设用地使用权价值</v>
      </c>
    </row>
    <row r="47" spans="1:2" s="1199" customFormat="1">
      <c r="A47" s="1197" t="s">
        <v>548</v>
      </c>
      <c r="B47" s="1198">
        <f ca="1">'预评函-3'!D4</f>
        <v>63587</v>
      </c>
    </row>
    <row r="48" spans="1:2" s="1199" customFormat="1">
      <c r="A48" s="1197" t="s">
        <v>549</v>
      </c>
      <c r="B48" s="1198">
        <f ca="1">'预评函-3'!E4</f>
        <v>32066</v>
      </c>
    </row>
    <row r="49" spans="1:2" s="1199" customFormat="1">
      <c r="A49" s="1197" t="s">
        <v>550</v>
      </c>
      <c r="B49" s="1198" t="str">
        <f ca="1">'预评函-3'!D5</f>
        <v>陆亿叁仟伍佰捌拾柒万元整</v>
      </c>
    </row>
    <row r="50" spans="1:2" s="1199" customFormat="1">
      <c r="A50" s="1197" t="s">
        <v>574</v>
      </c>
      <c r="B50" s="1198" t="str">
        <f>'预评函-3'!F2</f>
        <v>在建建筑物价值</v>
      </c>
    </row>
    <row r="51" spans="1:2" s="1199" customFormat="1">
      <c r="A51" s="1197" t="s">
        <v>551</v>
      </c>
      <c r="B51" s="1198">
        <f ca="1">'预评函-3'!F4</f>
        <v>17623</v>
      </c>
    </row>
    <row r="52" spans="1:2" s="1199" customFormat="1">
      <c r="A52" s="1197" t="s">
        <v>552</v>
      </c>
      <c r="B52" s="1198">
        <f ca="1">'预评函-3'!G4</f>
        <v>8887</v>
      </c>
    </row>
    <row r="53" spans="1:2" s="1199" customFormat="1">
      <c r="A53" s="1197" t="s">
        <v>580</v>
      </c>
      <c r="B53" s="1198" t="str">
        <f ca="1">'预评函-3'!F5</f>
        <v>壹亿柒仟陆佰贰拾叁万元整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f>'预评函-4'!A4</f>
        <v>0</v>
      </c>
    </row>
    <row r="71" spans="1:2">
      <c r="A71" s="1197" t="s">
        <v>563</v>
      </c>
      <c r="B71" s="1198">
        <f>'预评函-4'!B4</f>
        <v>0</v>
      </c>
    </row>
    <row r="72" spans="1:2">
      <c r="A72" s="1197" t="s">
        <v>564</v>
      </c>
      <c r="B72" s="1206">
        <f>'预评函-4'!A5</f>
        <v>0</v>
      </c>
    </row>
    <row r="73" spans="1:2" s="1193" customFormat="1" ht="16.2" thickBot="1">
      <c r="A73" s="1200" t="s">
        <v>565</v>
      </c>
      <c r="B73" s="1201">
        <f>'预评函-4'!B5</f>
        <v>0</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6" sqref="E16"/>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973</v>
      </c>
      <c r="C1" s="1537" t="s">
        <v>314</v>
      </c>
      <c r="D1" s="1539" t="s">
        <v>3352</v>
      </c>
      <c r="E1" s="1538" t="s">
        <v>974</v>
      </c>
      <c r="F1" s="1538" t="s">
        <v>975</v>
      </c>
      <c r="G1" s="1538" t="s">
        <v>976</v>
      </c>
      <c r="H1" s="1538" t="s">
        <v>977</v>
      </c>
      <c r="I1" s="1538" t="s">
        <v>978</v>
      </c>
      <c r="J1" s="1538" t="s">
        <v>979</v>
      </c>
      <c r="K1" s="1538" t="s">
        <v>980</v>
      </c>
      <c r="L1" s="1538" t="s">
        <v>981</v>
      </c>
      <c r="M1" s="1538" t="s">
        <v>982</v>
      </c>
      <c r="N1" s="1538" t="s">
        <v>983</v>
      </c>
      <c r="O1" s="1538" t="s">
        <v>984</v>
      </c>
      <c r="P1" s="1539" t="s">
        <v>309</v>
      </c>
      <c r="Q1" s="1539" t="s">
        <v>447</v>
      </c>
      <c r="R1" s="1538" t="s">
        <v>441</v>
      </c>
      <c r="S1" s="1538" t="s">
        <v>985</v>
      </c>
      <c r="T1" s="1540" t="s">
        <v>986</v>
      </c>
      <c r="U1" s="1538" t="s">
        <v>987</v>
      </c>
      <c r="V1" s="1538" t="s">
        <v>988</v>
      </c>
      <c r="W1" s="1538" t="s">
        <v>311</v>
      </c>
    </row>
    <row r="2" spans="1:23">
      <c r="A2" s="1542" t="s">
        <v>19</v>
      </c>
      <c r="B2" s="1542" t="s">
        <v>989</v>
      </c>
      <c r="C2" s="1543" t="s">
        <v>315</v>
      </c>
      <c r="D2" s="1544" t="s">
        <v>990</v>
      </c>
      <c r="E2" s="1544" t="s">
        <v>991</v>
      </c>
      <c r="F2" s="1544" t="s">
        <v>992</v>
      </c>
      <c r="G2" s="1544">
        <v>20</v>
      </c>
      <c r="H2" s="1544" t="s">
        <v>992</v>
      </c>
      <c r="I2" s="1544" t="s">
        <v>3338</v>
      </c>
      <c r="J2" s="1544" t="s">
        <v>993</v>
      </c>
      <c r="K2" s="1544" t="s">
        <v>994</v>
      </c>
      <c r="L2" s="1544" t="s">
        <v>994</v>
      </c>
      <c r="M2" s="1544" t="s">
        <v>994</v>
      </c>
      <c r="N2" s="1544" t="s">
        <v>994</v>
      </c>
      <c r="O2" s="1544" t="s">
        <v>994</v>
      </c>
      <c r="P2" s="1544" t="s">
        <v>994</v>
      </c>
      <c r="Q2" s="1544" t="s">
        <v>994</v>
      </c>
      <c r="R2" s="1544" t="s">
        <v>443</v>
      </c>
      <c r="S2" s="1544" t="s">
        <v>994</v>
      </c>
      <c r="T2" s="1544" t="s">
        <v>995</v>
      </c>
      <c r="U2" s="1544" t="s">
        <v>994</v>
      </c>
      <c r="V2" s="1544" t="s">
        <v>996</v>
      </c>
      <c r="W2" s="1544" t="s">
        <v>994</v>
      </c>
    </row>
    <row r="3" spans="1:23">
      <c r="A3" s="1542" t="s">
        <v>997</v>
      </c>
      <c r="B3" s="1545" t="s">
        <v>448</v>
      </c>
      <c r="C3" s="1546" t="s">
        <v>316</v>
      </c>
      <c r="D3" s="1544" t="s">
        <v>998</v>
      </c>
      <c r="E3" s="1544" t="s">
        <v>13</v>
      </c>
      <c r="F3" s="1544" t="s">
        <v>999</v>
      </c>
      <c r="G3" s="1544">
        <v>40</v>
      </c>
      <c r="H3" s="1544" t="s">
        <v>999</v>
      </c>
      <c r="I3" s="1544" t="s">
        <v>3339</v>
      </c>
      <c r="J3" s="1544" t="s">
        <v>1000</v>
      </c>
      <c r="K3" s="1544" t="s">
        <v>1001</v>
      </c>
      <c r="L3" s="1544" t="s">
        <v>1001</v>
      </c>
      <c r="M3" s="1544" t="s">
        <v>1001</v>
      </c>
      <c r="N3" s="1544" t="s">
        <v>1001</v>
      </c>
      <c r="O3" s="1544" t="s">
        <v>1001</v>
      </c>
      <c r="P3" s="1544" t="s">
        <v>1001</v>
      </c>
      <c r="Q3" s="1544" t="s">
        <v>1001</v>
      </c>
      <c r="R3" s="1544" t="s">
        <v>442</v>
      </c>
      <c r="S3" s="1544" t="s">
        <v>1001</v>
      </c>
      <c r="T3" s="1544" t="s">
        <v>1002</v>
      </c>
      <c r="U3" s="1544" t="s">
        <v>1001</v>
      </c>
      <c r="V3" s="1544" t="s">
        <v>1003</v>
      </c>
      <c r="W3" s="1544" t="s">
        <v>1001</v>
      </c>
    </row>
    <row r="4" spans="1:23">
      <c r="A4" s="1542" t="s">
        <v>1004</v>
      </c>
      <c r="B4" s="1542" t="s">
        <v>1005</v>
      </c>
      <c r="C4" s="1543" t="s">
        <v>317</v>
      </c>
      <c r="D4" s="1544" t="s">
        <v>389</v>
      </c>
      <c r="E4" s="1544" t="s">
        <v>1006</v>
      </c>
      <c r="F4" s="1544" t="s">
        <v>1007</v>
      </c>
      <c r="G4" s="1544">
        <v>50</v>
      </c>
      <c r="H4" s="1544" t="s">
        <v>1007</v>
      </c>
      <c r="I4" s="1544" t="s">
        <v>3340</v>
      </c>
      <c r="K4" s="1544" t="s">
        <v>1008</v>
      </c>
      <c r="L4" s="1544" t="s">
        <v>1008</v>
      </c>
      <c r="M4" s="1544" t="s">
        <v>1008</v>
      </c>
      <c r="N4" s="1544" t="s">
        <v>1008</v>
      </c>
      <c r="O4" s="1544" t="s">
        <v>1008</v>
      </c>
      <c r="P4" s="1544" t="s">
        <v>1008</v>
      </c>
      <c r="Q4" s="1544" t="s">
        <v>1008</v>
      </c>
      <c r="R4" s="1544" t="s">
        <v>444</v>
      </c>
      <c r="S4" s="1544" t="s">
        <v>1008</v>
      </c>
      <c r="T4" s="1544" t="s">
        <v>1009</v>
      </c>
      <c r="U4" s="1544" t="s">
        <v>1008</v>
      </c>
      <c r="W4" s="1544" t="s">
        <v>1008</v>
      </c>
    </row>
    <row r="5" spans="1:23">
      <c r="A5" s="1542" t="s">
        <v>1010</v>
      </c>
      <c r="B5" s="1542" t="s">
        <v>1011</v>
      </c>
      <c r="C5" s="1543" t="s">
        <v>318</v>
      </c>
      <c r="F5" s="1544" t="s">
        <v>1012</v>
      </c>
      <c r="G5" s="1544">
        <v>70</v>
      </c>
      <c r="H5" s="1544" t="s">
        <v>1013</v>
      </c>
      <c r="I5" s="1544" t="s">
        <v>3341</v>
      </c>
      <c r="K5" s="1544" t="s">
        <v>1014</v>
      </c>
      <c r="L5" s="1544" t="s">
        <v>1014</v>
      </c>
      <c r="M5" s="1544" t="s">
        <v>1014</v>
      </c>
      <c r="N5" s="1544" t="s">
        <v>1014</v>
      </c>
      <c r="O5" s="1544" t="s">
        <v>1014</v>
      </c>
      <c r="P5" s="1544" t="s">
        <v>1014</v>
      </c>
      <c r="Q5" s="1544" t="s">
        <v>1014</v>
      </c>
      <c r="R5" s="1544" t="s">
        <v>445</v>
      </c>
      <c r="S5" s="1544" t="s">
        <v>1014</v>
      </c>
      <c r="T5" s="1544" t="s">
        <v>1015</v>
      </c>
      <c r="U5" s="1544" t="s">
        <v>1014</v>
      </c>
      <c r="W5" s="1544" t="s">
        <v>1014</v>
      </c>
    </row>
    <row r="6" spans="1:23">
      <c r="A6" s="1542" t="s">
        <v>1016</v>
      </c>
      <c r="B6" s="1545" t="s">
        <v>449</v>
      </c>
      <c r="C6" s="1548" t="s">
        <v>24</v>
      </c>
      <c r="F6" s="1544" t="s">
        <v>1013</v>
      </c>
      <c r="H6" s="1544" t="s">
        <v>1017</v>
      </c>
      <c r="I6" s="1544" t="s">
        <v>3342</v>
      </c>
      <c r="K6" s="1544" t="s">
        <v>1018</v>
      </c>
      <c r="L6" s="1544" t="s">
        <v>1018</v>
      </c>
      <c r="M6" s="1544" t="s">
        <v>1018</v>
      </c>
      <c r="N6" s="1544" t="s">
        <v>1018</v>
      </c>
      <c r="O6" s="1544" t="s">
        <v>1018</v>
      </c>
      <c r="P6" s="1544" t="s">
        <v>1018</v>
      </c>
      <c r="Q6" s="1544" t="s">
        <v>1018</v>
      </c>
      <c r="R6" s="1544" t="s">
        <v>446</v>
      </c>
      <c r="S6" s="1544" t="s">
        <v>1018</v>
      </c>
      <c r="T6" s="1544"/>
      <c r="U6" s="1544" t="s">
        <v>1018</v>
      </c>
      <c r="W6" s="1544" t="s">
        <v>1018</v>
      </c>
    </row>
    <row r="7" spans="1:23">
      <c r="A7" s="1542" t="s">
        <v>1019</v>
      </c>
      <c r="B7" s="1545" t="s">
        <v>450</v>
      </c>
      <c r="C7" s="1543" t="s">
        <v>25</v>
      </c>
      <c r="F7" s="1544" t="s">
        <v>1020</v>
      </c>
      <c r="H7" s="1544" t="s">
        <v>1021</v>
      </c>
      <c r="I7" s="1544" t="s">
        <v>3343</v>
      </c>
    </row>
    <row r="8" spans="1:23">
      <c r="A8" s="1542" t="s">
        <v>1022</v>
      </c>
      <c r="B8" s="1542" t="s">
        <v>1023</v>
      </c>
      <c r="C8" s="1543" t="s">
        <v>319</v>
      </c>
      <c r="F8" s="1544" t="s">
        <v>1024</v>
      </c>
      <c r="H8" s="1544" t="s">
        <v>2575</v>
      </c>
      <c r="I8" s="1544" t="s">
        <v>3344</v>
      </c>
    </row>
    <row r="9" spans="1:23">
      <c r="A9" s="1542" t="s">
        <v>1025</v>
      </c>
      <c r="B9" s="1542" t="s">
        <v>1026</v>
      </c>
      <c r="C9" s="1543" t="s">
        <v>320</v>
      </c>
      <c r="F9" s="1544" t="s">
        <v>1027</v>
      </c>
      <c r="H9" s="1544"/>
      <c r="I9" s="1547" t="s">
        <v>3345</v>
      </c>
    </row>
    <row r="10" spans="1:23">
      <c r="A10" s="1542" t="s">
        <v>1028</v>
      </c>
      <c r="B10" s="1542" t="s">
        <v>1029</v>
      </c>
      <c r="C10" s="1543" t="s">
        <v>321</v>
      </c>
      <c r="F10" s="1544" t="s">
        <v>2576</v>
      </c>
      <c r="I10" s="1547" t="s">
        <v>3346</v>
      </c>
    </row>
    <row r="11" spans="1:23">
      <c r="A11" s="1542" t="s">
        <v>1030</v>
      </c>
      <c r="B11" s="1542" t="s">
        <v>1031</v>
      </c>
      <c r="C11" s="1543" t="s">
        <v>322</v>
      </c>
      <c r="F11" s="1544" t="s">
        <v>13</v>
      </c>
      <c r="I11" s="1547" t="s">
        <v>3347</v>
      </c>
    </row>
    <row r="12" spans="1:23">
      <c r="A12" s="1542" t="s">
        <v>1032</v>
      </c>
      <c r="B12" s="1542" t="s">
        <v>1033</v>
      </c>
      <c r="C12" s="1543" t="s">
        <v>323</v>
      </c>
      <c r="I12" s="1547" t="s">
        <v>3348</v>
      </c>
    </row>
    <row r="13" spans="1:23">
      <c r="A13" s="1542" t="s">
        <v>1034</v>
      </c>
      <c r="B13" s="1542" t="s">
        <v>1035</v>
      </c>
      <c r="C13" s="1543" t="s">
        <v>324</v>
      </c>
      <c r="I13" s="1547" t="s">
        <v>3349</v>
      </c>
    </row>
    <row r="14" spans="1:23">
      <c r="A14" s="1542" t="s">
        <v>1036</v>
      </c>
      <c r="B14" s="1542" t="s">
        <v>1037</v>
      </c>
      <c r="C14" s="1544" t="s">
        <v>13</v>
      </c>
      <c r="I14" s="1547" t="s">
        <v>3350</v>
      </c>
    </row>
    <row r="15" spans="1:23">
      <c r="A15" s="1542" t="s">
        <v>1038</v>
      </c>
      <c r="B15" s="1542" t="s">
        <v>1039</v>
      </c>
      <c r="C15" s="1543"/>
      <c r="I15" s="1547" t="s">
        <v>3351</v>
      </c>
    </row>
    <row r="16" spans="1:23">
      <c r="A16" s="1542" t="s">
        <v>1040</v>
      </c>
      <c r="B16" s="1542" t="s">
        <v>312</v>
      </c>
      <c r="C16" s="1543"/>
    </row>
    <row r="17" spans="1:3">
      <c r="A17" s="1542" t="s">
        <v>1041</v>
      </c>
      <c r="B17" s="1542" t="s">
        <v>2288</v>
      </c>
      <c r="C17" s="1543"/>
    </row>
    <row r="18" spans="1:3">
      <c r="A18" s="1542" t="s">
        <v>1042</v>
      </c>
      <c r="B18" s="1542" t="s">
        <v>2431</v>
      </c>
      <c r="C18" s="1543"/>
    </row>
    <row r="19" spans="1:3">
      <c r="A19" s="1542" t="s">
        <v>1043</v>
      </c>
      <c r="B19" s="1542" t="s">
        <v>3417</v>
      </c>
      <c r="C19" s="1543"/>
    </row>
    <row r="20" spans="1:3">
      <c r="A20" s="1542" t="s">
        <v>1044</v>
      </c>
      <c r="B20" s="1542" t="s">
        <v>3419</v>
      </c>
      <c r="C20" s="1543"/>
    </row>
    <row r="21" spans="1:3">
      <c r="A21" s="1542" t="s">
        <v>1045</v>
      </c>
      <c r="B21" s="1542" t="s">
        <v>3421</v>
      </c>
      <c r="C21" s="1543"/>
    </row>
    <row r="22" spans="1:3">
      <c r="A22" s="1542" t="s">
        <v>1046</v>
      </c>
      <c r="B22" s="1542" t="s">
        <v>3423</v>
      </c>
      <c r="C22" s="1543"/>
    </row>
    <row r="23" spans="1:3">
      <c r="A23" s="1542" t="s">
        <v>1047</v>
      </c>
      <c r="B23" s="1542" t="s">
        <v>3425</v>
      </c>
      <c r="C23" s="1543"/>
    </row>
    <row r="24" spans="1:3">
      <c r="A24" s="1542" t="s">
        <v>1048</v>
      </c>
      <c r="B24" s="1542" t="s">
        <v>3427</v>
      </c>
      <c r="C24" s="1543"/>
    </row>
    <row r="25" spans="1:3">
      <c r="A25" s="1542" t="s">
        <v>1049</v>
      </c>
      <c r="B25" s="1542" t="s">
        <v>313</v>
      </c>
      <c r="C25" s="1543"/>
    </row>
    <row r="26" spans="1:3">
      <c r="A26" s="1542" t="s">
        <v>1050</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634"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4"/>
      <c r="B54" s="1550" t="s">
        <v>385</v>
      </c>
      <c r="C54" s="1547" t="s">
        <v>583</v>
      </c>
    </row>
    <row r="55" spans="1:4">
      <c r="A55" s="3634"/>
      <c r="B55" s="1550" t="s">
        <v>386</v>
      </c>
      <c r="C55" s="1547" t="s">
        <v>584</v>
      </c>
    </row>
    <row r="56" spans="1:4">
      <c r="A56" s="3634"/>
      <c r="B56" s="1550" t="s">
        <v>387</v>
      </c>
      <c r="C56" s="1547" t="s">
        <v>588</v>
      </c>
    </row>
    <row r="57" spans="1:4">
      <c r="A57" s="3634"/>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635" t="s">
        <v>2578</v>
      </c>
      <c r="J2" s="3635"/>
      <c r="K2" s="3635"/>
      <c r="L2" s="3635"/>
      <c r="M2" s="3635"/>
      <c r="N2" s="3635"/>
      <c r="O2" s="3635"/>
      <c r="P2" s="3635"/>
      <c r="Q2" s="3635"/>
      <c r="R2" s="3635"/>
    </row>
    <row r="3" spans="1:18">
      <c r="A3" s="3016" t="s">
        <v>2499</v>
      </c>
      <c r="B3" s="3017">
        <f>项目基本情况!D3</f>
        <v>45086</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3.53</v>
      </c>
      <c r="D5" s="3021">
        <f>IF(ISERROR(ROUND(POWER(1+E5,A5-C5)*(POWER(1+E5,C5)-1)/(POWER(1+E5,A5)-1),3)),0,ROUND(POWER(1+E5,A5-C5)*(POWER(1+E5,C5)-1)/(POWER(1+E5,A5)-1),4))</f>
        <v>0.1633</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13.53</v>
      </c>
      <c r="D6" s="3021">
        <f>IF(ISERROR(ROUND(POWER(1+E6,A6-C6)*(POWER(1+E6,C6)-1)/(POWER(1+E6,A6)-1),3)),0,ROUND(POWER(1+E6,A6-C6)*(POWER(1+E6,C6)-1)/(POWER(1+E6,A6)-1),4))</f>
        <v>0.47920000000000001</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33.549999999999997</v>
      </c>
      <c r="D7" s="3021">
        <f>IF(ISERROR(ROUND(POWER(1+E7,A7-C7)*(POWER(1+E7,C7)-1)/(POWER(1+E7,A7)-1),3)),0,ROUND(POWER(1+E7,A7-C7)*(POWER(1+E7,C7)-1)/(POWER(1+E7,A7)-1),4))</f>
        <v>0.78200000000000003</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5" thickBot="1">
      <c r="A18" s="3027" t="s">
        <v>2514</v>
      </c>
      <c r="B18" s="3028">
        <f>ROUND(B17*F11/F12,2)</f>
        <v>5541.87</v>
      </c>
      <c r="C18" s="3028">
        <f>ROUND(F11/F12,4)</f>
        <v>1.1521999999999999</v>
      </c>
      <c r="D18" s="3029"/>
      <c r="E18" s="3029"/>
      <c r="F18" s="3030"/>
    </row>
    <row r="19" spans="1:13" ht="15" thickBot="1"/>
    <row r="20" spans="1:13" s="3065" customFormat="1" ht="1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25" sqref="O25"/>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2" t="s">
        <v>2164</v>
      </c>
      <c r="B1" s="3636" t="str">
        <f>IF(B10="北京市","北京市",C10)&amp;F10&amp;IF(结果表!G1="在建","出让国有建设用地使用权及在建建筑物",IF(结果表!G1="土地","出让国有建设用地使用权",))&amp;B9&amp;"预评估"</f>
        <v>北京市房地产抵押价值预评估</v>
      </c>
      <c r="C1" s="3637"/>
      <c r="D1" s="3637"/>
      <c r="E1" s="3637"/>
      <c r="F1" s="3637"/>
      <c r="G1" s="3637"/>
      <c r="H1" s="3637"/>
      <c r="I1" s="3638"/>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2165</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2166</v>
      </c>
      <c r="B3" s="2369"/>
      <c r="C3" s="2370" t="s">
        <v>2167</v>
      </c>
      <c r="D3" s="2369">
        <v>45086</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8" thickBot="1">
      <c r="A4" s="1086" t="s">
        <v>2168</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8" thickTop="1">
      <c r="A5" s="2375" t="s">
        <v>2169</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2170</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2171</v>
      </c>
      <c r="B7" s="2383"/>
      <c r="C7" s="2381"/>
      <c r="D7" s="2382"/>
      <c r="E7" s="2658"/>
      <c r="F7" s="2660"/>
      <c r="G7" s="2660"/>
      <c r="H7" s="2660"/>
      <c r="I7" s="2660"/>
      <c r="J7" s="2435"/>
      <c r="K7" s="2612"/>
      <c r="L7" s="2609"/>
      <c r="M7" s="2609"/>
      <c r="N7" s="2435"/>
      <c r="O7" s="2446"/>
      <c r="P7" s="2435"/>
      <c r="Q7" s="2435"/>
      <c r="R7" s="2435"/>
    </row>
    <row r="8" spans="1:30">
      <c r="A8" s="2384" t="s">
        <v>2172</v>
      </c>
      <c r="B8" s="2385" t="s">
        <v>3389</v>
      </c>
      <c r="C8" s="2386"/>
      <c r="D8" s="3639" t="s">
        <v>2173</v>
      </c>
      <c r="E8" s="2387" t="s">
        <v>3390</v>
      </c>
      <c r="F8" s="2388"/>
      <c r="G8" s="2659"/>
      <c r="H8" s="2659"/>
      <c r="I8" s="2659"/>
      <c r="J8" s="2435"/>
      <c r="K8" s="2610"/>
      <c r="L8" s="2609"/>
      <c r="M8" s="2609"/>
      <c r="N8" s="2435"/>
      <c r="O8" s="2446"/>
      <c r="P8" s="2435"/>
      <c r="Q8" s="2435"/>
      <c r="R8" s="2435"/>
    </row>
    <row r="9" spans="1:30" ht="13.8" thickBot="1">
      <c r="A9" s="2389" t="s">
        <v>2174</v>
      </c>
      <c r="B9" s="2390" t="s">
        <v>3390</v>
      </c>
      <c r="C9" s="2391"/>
      <c r="D9" s="3640"/>
      <c r="E9" s="2390"/>
      <c r="F9" s="2392"/>
      <c r="G9" s="2661"/>
      <c r="H9" s="2661"/>
      <c r="I9" s="2661"/>
      <c r="J9" s="2435"/>
      <c r="K9" s="2612"/>
      <c r="L9" s="2609"/>
      <c r="M9" s="2609"/>
      <c r="N9" s="2435"/>
      <c r="O9" s="2446"/>
      <c r="P9" s="2435"/>
      <c r="Q9" s="2435"/>
      <c r="R9" s="2435"/>
    </row>
    <row r="10" spans="1:30" ht="13.8" thickTop="1">
      <c r="A10" s="2393" t="s">
        <v>2175</v>
      </c>
      <c r="B10" s="2394" t="s">
        <v>3391</v>
      </c>
      <c r="C10" s="2395"/>
      <c r="D10" s="2378"/>
      <c r="E10" s="2396" t="s">
        <v>2176</v>
      </c>
      <c r="F10" s="2662"/>
      <c r="G10" s="2663"/>
      <c r="H10" s="2664"/>
      <c r="I10" s="2665"/>
      <c r="J10" s="2435"/>
      <c r="K10" s="2612"/>
      <c r="L10" s="2609"/>
      <c r="M10" s="2609"/>
      <c r="N10" s="2435"/>
      <c r="O10" s="2446"/>
      <c r="P10" s="2435"/>
      <c r="Q10" s="2435"/>
      <c r="R10" s="2435"/>
    </row>
    <row r="11" spans="1:30">
      <c r="A11" s="2397" t="s">
        <v>2177</v>
      </c>
      <c r="B11" s="2398" t="s">
        <v>3392</v>
      </c>
      <c r="C11" s="2399"/>
      <c r="D11" s="2400"/>
      <c r="E11" s="2366"/>
      <c r="F11" s="2366"/>
      <c r="G11" s="2366"/>
      <c r="H11" s="2366"/>
      <c r="I11" s="2366"/>
      <c r="J11" s="3057"/>
      <c r="K11" s="3056"/>
      <c r="L11" s="2609"/>
      <c r="M11" s="2609"/>
      <c r="N11" s="2435"/>
      <c r="O11" s="2446"/>
      <c r="P11" s="2435"/>
      <c r="Q11" s="2435"/>
      <c r="R11" s="2435"/>
    </row>
    <row r="12" spans="1:30">
      <c r="A12" s="2401" t="s">
        <v>2178</v>
      </c>
      <c r="B12" s="322" t="s">
        <v>2179</v>
      </c>
      <c r="C12" s="2402" t="s">
        <v>2180</v>
      </c>
      <c r="D12" s="2402" t="s">
        <v>2181</v>
      </c>
      <c r="E12" s="2402" t="s">
        <v>2182</v>
      </c>
      <c r="F12" s="2402" t="s">
        <v>2183</v>
      </c>
      <c r="G12" s="2402" t="s">
        <v>2184</v>
      </c>
      <c r="H12" s="2402" t="s">
        <v>2185</v>
      </c>
      <c r="I12" s="3055" t="s">
        <v>2574</v>
      </c>
      <c r="J12" s="3058"/>
      <c r="K12" s="2609"/>
      <c r="L12" s="2609"/>
      <c r="M12" s="2435"/>
      <c r="N12" s="2446"/>
      <c r="O12" s="2435"/>
      <c r="P12" s="2435"/>
      <c r="Q12" s="2435"/>
      <c r="AD12" s="1741"/>
    </row>
    <row r="13" spans="1:30">
      <c r="A13" s="3419" t="s">
        <v>3334</v>
      </c>
      <c r="B13" s="2403" t="s">
        <v>2186</v>
      </c>
      <c r="C13" s="852"/>
      <c r="D13" s="852">
        <v>55156</v>
      </c>
      <c r="E13" s="852"/>
      <c r="F13" s="852">
        <v>58809</v>
      </c>
      <c r="G13" s="852"/>
      <c r="H13" s="852"/>
      <c r="I13" s="852"/>
      <c r="J13" s="3058"/>
      <c r="K13" s="2609"/>
      <c r="L13" s="2609"/>
      <c r="M13" s="2435"/>
      <c r="N13" s="2446"/>
      <c r="O13" s="2435"/>
      <c r="P13" s="2435"/>
      <c r="Q13" s="2435"/>
      <c r="AD13" s="1741"/>
    </row>
    <row r="14" spans="1:30">
      <c r="A14" s="1077"/>
      <c r="B14" s="2403" t="s">
        <v>2187</v>
      </c>
      <c r="C14" s="2404"/>
      <c r="D14" s="2404">
        <v>40</v>
      </c>
      <c r="E14" s="2404"/>
      <c r="F14" s="2404">
        <v>50</v>
      </c>
      <c r="G14" s="2404"/>
      <c r="H14" s="2404"/>
      <c r="I14" s="2404"/>
      <c r="J14" s="3059"/>
      <c r="K14" s="2609"/>
      <c r="L14" s="2609"/>
      <c r="M14" s="2435"/>
      <c r="N14" s="2446"/>
      <c r="O14" s="2435"/>
      <c r="P14" s="2435"/>
      <c r="Q14" s="2435"/>
      <c r="AD14" s="1741"/>
    </row>
    <row r="15" spans="1:30">
      <c r="A15" s="319"/>
      <c r="B15" s="2405" t="s">
        <v>2188</v>
      </c>
      <c r="C15" s="2406" t="str">
        <f>IF(A13="出让",IF(C13="","",ROUNDDOWN(MIN((C13-$D$3)/365,C14),2)),C14)</f>
        <v/>
      </c>
      <c r="D15" s="2406">
        <f>IF(A13="出让",IF(D13="","",ROUNDDOWN(MIN((D13-$D$3)/365,D14),2)),D14)</f>
        <v>27.58</v>
      </c>
      <c r="E15" s="2406" t="str">
        <f>IF(A13="出让",IF(E13="","",ROUNDDOWN(MIN((E13-$D$3)/365,E14),2)),E14)</f>
        <v/>
      </c>
      <c r="F15" s="2406">
        <f>IF(A13="出让",IF(F13="","",ROUNDDOWN(MIN((F13-$D$3)/365,F14),2)),F14)</f>
        <v>37.590000000000003</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2189</v>
      </c>
      <c r="B16" s="3646"/>
      <c r="C16" s="3647"/>
      <c r="D16" s="3648"/>
      <c r="E16" s="2409" t="s">
        <v>2190</v>
      </c>
      <c r="F16" s="3649"/>
      <c r="G16" s="3650"/>
      <c r="H16" s="3650"/>
      <c r="I16" s="3651"/>
      <c r="J16" s="2435"/>
      <c r="K16" s="2613"/>
      <c r="L16" s="2447"/>
      <c r="M16" s="2447"/>
      <c r="N16" s="2505"/>
      <c r="O16" s="2447"/>
      <c r="P16" s="2505"/>
      <c r="Q16" s="2435"/>
      <c r="R16" s="2435"/>
    </row>
    <row r="17" spans="1:28">
      <c r="A17" s="312" t="s">
        <v>2191</v>
      </c>
      <c r="B17" s="301" t="s">
        <v>2192</v>
      </c>
      <c r="C17" s="8">
        <f>'数据-汇总表'!E3</f>
        <v>99232.329999999987</v>
      </c>
      <c r="D17" s="2318" t="s">
        <v>2193</v>
      </c>
      <c r="E17" s="3652" t="s">
        <v>2194</v>
      </c>
      <c r="F17" s="3653"/>
      <c r="G17" s="3653"/>
      <c r="H17" s="3653"/>
      <c r="I17" s="3654"/>
      <c r="J17" s="2435"/>
      <c r="K17" s="2614"/>
      <c r="L17" s="2447"/>
      <c r="M17" s="2447"/>
      <c r="N17" s="2505"/>
      <c r="O17" s="2447"/>
      <c r="P17" s="2505"/>
      <c r="Q17" s="2435"/>
      <c r="R17" s="2435"/>
      <c r="S17" s="2435"/>
      <c r="T17" s="2435"/>
      <c r="U17" s="2435"/>
      <c r="V17" s="2435"/>
    </row>
    <row r="18" spans="1:28" ht="24.6" thickBot="1">
      <c r="A18" s="2410" t="s">
        <v>2195</v>
      </c>
      <c r="B18" s="1086" t="s">
        <v>2196</v>
      </c>
      <c r="C18" s="2411">
        <f>'数据-汇总表'!D3</f>
        <v>12540.52</v>
      </c>
      <c r="D18" s="1088" t="s">
        <v>2197</v>
      </c>
      <c r="E18" s="3655" t="s">
        <v>2198</v>
      </c>
      <c r="F18" s="3656"/>
      <c r="G18" s="3656"/>
      <c r="H18" s="3656"/>
      <c r="I18" s="3657"/>
      <c r="J18" s="2435"/>
      <c r="K18" s="2614"/>
      <c r="L18" s="2447"/>
      <c r="M18" s="2447"/>
      <c r="N18" s="2505"/>
      <c r="O18" s="2447"/>
      <c r="P18" s="2505"/>
      <c r="Q18" s="2435"/>
      <c r="R18" s="2435"/>
      <c r="S18" s="2435"/>
      <c r="T18" s="2435"/>
      <c r="U18" s="2435"/>
      <c r="V18" s="2435"/>
    </row>
    <row r="19" spans="1:28" ht="37.200000000000003" thickTop="1" thickBot="1">
      <c r="A19" s="326" t="s">
        <v>1051</v>
      </c>
      <c r="B19" s="306" t="s">
        <v>2199</v>
      </c>
      <c r="C19" s="1559"/>
      <c r="D19" s="1560" t="s">
        <v>2200</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2201</v>
      </c>
      <c r="B20" s="3642" t="s">
        <v>2202</v>
      </c>
      <c r="C20" s="3643"/>
      <c r="D20" s="3644" t="s">
        <v>2203</v>
      </c>
      <c r="E20" s="3645"/>
      <c r="F20" s="2643" t="s">
        <v>1052</v>
      </c>
      <c r="G20" s="2660"/>
      <c r="H20" s="2660"/>
      <c r="I20" s="2660"/>
      <c r="J20" s="2435"/>
      <c r="K20" s="3641" t="s">
        <v>2204</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36.6" thickBot="1">
      <c r="A21" s="2628"/>
      <c r="B21" s="2629" t="s">
        <v>2205</v>
      </c>
      <c r="C21" s="2630" t="s">
        <v>1053</v>
      </c>
      <c r="D21" s="1564" t="s">
        <v>2206</v>
      </c>
      <c r="E21" s="2631" t="s">
        <v>1053</v>
      </c>
      <c r="F21" s="2644"/>
      <c r="G21" s="2660"/>
      <c r="H21" s="2660"/>
      <c r="I21" s="2660"/>
      <c r="J21" s="2435"/>
      <c r="K21" s="364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36.6" thickBot="1">
      <c r="A22" s="2628"/>
      <c r="B22" s="2632" t="s">
        <v>2207</v>
      </c>
      <c r="C22" s="2630" t="s">
        <v>1054</v>
      </c>
      <c r="D22" s="2659"/>
      <c r="E22" s="2659"/>
      <c r="F22" s="2659"/>
      <c r="G22" s="2660"/>
      <c r="H22" s="2660"/>
      <c r="I22" s="2660"/>
      <c r="J22" s="2435"/>
      <c r="K22" s="364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2208</v>
      </c>
      <c r="B23" s="2498" t="s">
        <v>2209</v>
      </c>
      <c r="C23" s="2634"/>
      <c r="D23" s="2635" t="s">
        <v>2209</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1055</v>
      </c>
      <c r="C24" s="2637"/>
      <c r="D24" s="2633" t="s">
        <v>1055</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1056</v>
      </c>
      <c r="C25" s="2637"/>
      <c r="D25" s="2633" t="s">
        <v>1056</v>
      </c>
      <c r="E25" s="2638"/>
      <c r="F25" s="2659"/>
      <c r="G25" s="2660"/>
      <c r="H25" s="2660"/>
      <c r="I25" s="2660"/>
      <c r="J25" s="2435"/>
      <c r="K25" s="2612"/>
      <c r="L25" s="2609"/>
      <c r="M25" s="2609"/>
      <c r="N25" s="2505"/>
      <c r="O25" s="2447"/>
      <c r="P25" s="2505"/>
      <c r="Q25" s="2435"/>
      <c r="R25" s="2435"/>
      <c r="S25" s="2435"/>
      <c r="T25" s="2435"/>
      <c r="U25" s="2435"/>
      <c r="V25" s="2435"/>
    </row>
    <row r="26" spans="1:28" ht="13.8" thickBot="1">
      <c r="A26" s="2639"/>
      <c r="B26" s="2640" t="s">
        <v>1057</v>
      </c>
      <c r="C26" s="2641"/>
      <c r="D26" s="2639" t="s">
        <v>1057</v>
      </c>
      <c r="E26" s="2642"/>
      <c r="F26" s="2661"/>
      <c r="G26" s="2661"/>
      <c r="H26" s="2661"/>
      <c r="I26" s="2661"/>
      <c r="J26" s="2435"/>
      <c r="K26" s="2612"/>
      <c r="L26" s="2609"/>
      <c r="M26" s="2609"/>
      <c r="N26" s="2505"/>
      <c r="O26" s="2447"/>
      <c r="P26" s="2505"/>
      <c r="Q26" s="2435"/>
      <c r="R26" s="2435"/>
      <c r="S26" s="2435"/>
      <c r="T26" s="2435"/>
      <c r="U26" s="2435"/>
      <c r="V26" s="2435"/>
    </row>
    <row r="27" spans="1:28" ht="13.8" thickTop="1">
      <c r="A27" s="3659" t="s">
        <v>2210</v>
      </c>
      <c r="B27" s="319" t="s">
        <v>2211</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659"/>
      <c r="B28" s="301" t="s">
        <v>2212</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659"/>
      <c r="B29" s="301" t="s">
        <v>2213</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660"/>
      <c r="B30" s="301" t="s">
        <v>2214</v>
      </c>
      <c r="C30" s="3661"/>
      <c r="D30" s="3662"/>
      <c r="E30" s="2660"/>
      <c r="F30" s="2660"/>
      <c r="G30" s="2660"/>
      <c r="H30" s="2660"/>
      <c r="I30" s="2660"/>
      <c r="J30" s="2435"/>
      <c r="K30" s="2612"/>
      <c r="L30" s="2609"/>
      <c r="M30" s="2609"/>
      <c r="N30" s="2435"/>
      <c r="O30" s="2446"/>
      <c r="P30" s="2435"/>
      <c r="Q30" s="2435"/>
      <c r="R30" s="2435"/>
      <c r="S30" s="2435"/>
      <c r="T30" s="2435"/>
      <c r="U30" s="2435"/>
      <c r="V30" s="2435"/>
    </row>
    <row r="31" spans="1:28">
      <c r="A31" s="3663" t="s">
        <v>2215</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664"/>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664"/>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1" t="s">
        <v>2216</v>
      </c>
      <c r="B34" s="2022"/>
      <c r="C34" s="2022"/>
      <c r="D34" s="2022"/>
      <c r="E34" s="2022"/>
      <c r="F34" s="2022"/>
      <c r="G34" s="2022"/>
      <c r="H34" s="2022"/>
      <c r="I34" s="2660"/>
      <c r="J34" s="2435"/>
      <c r="K34" s="2423">
        <f>COUNTIF(B34:H34,"——")</f>
        <v>0</v>
      </c>
      <c r="L34" s="322" t="s">
        <v>2217</v>
      </c>
      <c r="M34" s="322" t="s">
        <v>2218</v>
      </c>
      <c r="N34" s="322" t="s">
        <v>2219</v>
      </c>
      <c r="O34" s="322" t="s">
        <v>2220</v>
      </c>
      <c r="P34" s="322" t="s">
        <v>2221</v>
      </c>
      <c r="Q34" s="322" t="s">
        <v>2222</v>
      </c>
      <c r="R34" s="322" t="s">
        <v>2223</v>
      </c>
      <c r="S34" s="3658" t="s">
        <v>2224</v>
      </c>
      <c r="T34" s="2424" t="str">
        <f>NUMBERSTRING(7-K34,1)&amp;"通"</f>
        <v>七通</v>
      </c>
      <c r="U34" s="2435"/>
      <c r="V34" s="2435"/>
    </row>
    <row r="35" spans="1:30">
      <c r="A35" s="2425"/>
      <c r="B35" s="3665" t="s">
        <v>2225</v>
      </c>
      <c r="C35" s="3665"/>
      <c r="D35" s="3665"/>
      <c r="E35" s="3665"/>
      <c r="F35" s="663">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58"/>
      <c r="T35" s="328" t="str">
        <f>IF(T34="一通",L35,IF(T34="二通",M35,IF(T34="三通",N35,IF(T34="四通",O35,IF(T34="五通",P35,IF(T34="六通",Q35,R35))))))</f>
        <v>、、、、、、</v>
      </c>
      <c r="U35" s="2435"/>
      <c r="V35" s="2435"/>
    </row>
    <row r="36" spans="1:30">
      <c r="A36" s="2426"/>
      <c r="B36" s="663" t="s">
        <v>2181</v>
      </c>
      <c r="C36" s="663" t="s">
        <v>2182</v>
      </c>
      <c r="D36" s="663" t="s">
        <v>2180</v>
      </c>
      <c r="E36" s="663" t="s">
        <v>2185</v>
      </c>
      <c r="F36" s="3061" t="s">
        <v>2577</v>
      </c>
      <c r="G36" s="2660"/>
      <c r="H36" s="2660"/>
      <c r="I36" s="2660"/>
      <c r="J36" s="2435"/>
      <c r="K36" s="2612"/>
      <c r="L36" s="2609"/>
      <c r="M36" s="2609"/>
      <c r="N36" s="2435"/>
      <c r="O36" s="2446"/>
      <c r="P36" s="2435"/>
      <c r="Q36" s="2435"/>
      <c r="R36" s="2435"/>
      <c r="S36" s="2435"/>
      <c r="T36" s="2435"/>
      <c r="U36" s="2435"/>
      <c r="V36" s="2435"/>
    </row>
    <row r="37" spans="1:30">
      <c r="A37" s="2626" t="s">
        <v>2226</v>
      </c>
      <c r="B37" s="2427" t="s">
        <v>303</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8" thickBot="1">
      <c r="A38" s="2627" t="s">
        <v>2227</v>
      </c>
      <c r="B38" s="2428" t="s">
        <v>2985</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4" thickTop="1" thickBot="1">
      <c r="A39" s="2429" t="s">
        <v>2228</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2229</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2">
      <c r="A42" s="322" t="s">
        <v>2230</v>
      </c>
      <c r="B42" s="8" t="s">
        <v>2231</v>
      </c>
      <c r="C42" s="8" t="s">
        <v>2232</v>
      </c>
      <c r="D42" s="8" t="s">
        <v>2233</v>
      </c>
      <c r="E42" s="8" t="s">
        <v>2234</v>
      </c>
      <c r="F42" s="8" t="s">
        <v>2235</v>
      </c>
      <c r="G42" s="8" t="s">
        <v>2236</v>
      </c>
      <c r="H42" s="8" t="s">
        <v>2237</v>
      </c>
      <c r="I42" s="8" t="s">
        <v>2238</v>
      </c>
      <c r="J42" s="2622" t="s">
        <v>2239</v>
      </c>
      <c r="K42" s="2623" t="s">
        <v>2240</v>
      </c>
      <c r="L42" s="2623" t="s">
        <v>2241</v>
      </c>
      <c r="M42" s="2623" t="s">
        <v>2242</v>
      </c>
      <c r="N42" s="2616" t="s">
        <v>2243</v>
      </c>
      <c r="O42" s="2616" t="s">
        <v>2244</v>
      </c>
      <c r="P42" s="2616" t="s">
        <v>2245</v>
      </c>
      <c r="Q42" s="2617" t="s">
        <v>2246</v>
      </c>
      <c r="R42" s="2617" t="s">
        <v>2247</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M20" sqref="M20"/>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hidden="1" customWidth="1"/>
    <col min="11" max="11" width="11" style="1569" customWidth="1"/>
    <col min="12" max="12" width="9.44140625" style="1569" hidden="1" customWidth="1"/>
    <col min="13" max="14" width="9.44140625" style="1569" customWidth="1"/>
    <col min="15" max="15" width="9.88671875" style="1569" customWidth="1"/>
    <col min="16" max="16" width="9.77734375" style="1569" customWidth="1"/>
    <col min="17" max="17" width="9.33203125" style="1569" customWidth="1"/>
    <col min="18" max="18" width="9.21875" style="1569" customWidth="1"/>
    <col min="19" max="19" width="10.88671875" style="1569" customWidth="1"/>
    <col min="20" max="21" width="10.77734375" style="1569" customWidth="1"/>
    <col min="22" max="22" width="10.88671875" style="1569" customWidth="1"/>
    <col min="23" max="27" width="10.77734375" style="1569" customWidth="1"/>
    <col min="28" max="28" width="10.88671875" style="1569"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1058</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1059</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1060</v>
      </c>
      <c r="B2" s="8" t="s">
        <v>1061</v>
      </c>
      <c r="C2" s="8" t="s">
        <v>1062</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1063</v>
      </c>
      <c r="AZ2" s="1045" t="s">
        <v>1064</v>
      </c>
      <c r="BA2" s="8" t="s">
        <v>1065</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v>12540.52</v>
      </c>
      <c r="B3" s="11">
        <f>IF(C3="否",G5-AT5,G5)</f>
        <v>99232.329999999987</v>
      </c>
      <c r="C3" s="1576" t="s">
        <v>1066</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1067</v>
      </c>
      <c r="B5" s="1343"/>
      <c r="C5" s="1343"/>
      <c r="D5" s="1345"/>
      <c r="E5" s="13" t="s">
        <v>0</v>
      </c>
      <c r="F5" s="13">
        <f>SUM(F13:F587)</f>
        <v>0</v>
      </c>
      <c r="G5" s="13">
        <f>SUM(G13:G587)</f>
        <v>99232.329999999987</v>
      </c>
      <c r="H5" s="13">
        <f t="shared" ref="H5:AT5" si="0">SUM(H13:H656)</f>
        <v>99232.329999999987</v>
      </c>
      <c r="I5" s="13">
        <f t="shared" si="0"/>
        <v>19830.27</v>
      </c>
      <c r="J5" s="13">
        <f t="shared" si="0"/>
        <v>0</v>
      </c>
      <c r="K5" s="13">
        <f t="shared" si="0"/>
        <v>48742.99</v>
      </c>
      <c r="L5" s="13">
        <f t="shared" si="0"/>
        <v>0</v>
      </c>
      <c r="M5" s="13">
        <f t="shared" si="0"/>
        <v>30659.07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1067</v>
      </c>
      <c r="AW5" s="1343"/>
      <c r="AX5" s="1343"/>
      <c r="AY5" s="14" t="s">
        <v>2</v>
      </c>
      <c r="AZ5" s="15">
        <f t="shared" ref="AZ5:BT5" si="1">SUM(AZ13:AZ656)</f>
        <v>99232.329999999987</v>
      </c>
      <c r="BA5" s="15">
        <f t="shared" si="1"/>
        <v>99232.329999999987</v>
      </c>
      <c r="BB5" s="15">
        <f t="shared" si="1"/>
        <v>19830.27</v>
      </c>
      <c r="BC5" s="15">
        <f t="shared" si="1"/>
        <v>48742.99</v>
      </c>
      <c r="BD5" s="15">
        <f t="shared" si="1"/>
        <v>30659.07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3.2">
      <c r="A6" s="12" t="s">
        <v>1068</v>
      </c>
      <c r="B6" s="1582"/>
      <c r="C6" s="1582"/>
      <c r="D6" s="1583"/>
      <c r="E6" s="13">
        <f>H6+AC6+AT6</f>
        <v>12540.52</v>
      </c>
      <c r="F6" s="13" t="s">
        <v>0</v>
      </c>
      <c r="G6" s="13" t="s">
        <v>1</v>
      </c>
      <c r="H6" s="17">
        <f>SUMIF(I$12:AB$12,"总值",I6:AB6)</f>
        <v>12540.52</v>
      </c>
      <c r="I6" s="13">
        <f t="shared" ref="I6:AB6" si="2">ROUND($A$3*I5/$B$3,2)</f>
        <v>2506.06</v>
      </c>
      <c r="J6" s="13">
        <f t="shared" si="2"/>
        <v>0</v>
      </c>
      <c r="K6" s="13">
        <f t="shared" si="2"/>
        <v>6159.91</v>
      </c>
      <c r="L6" s="13">
        <f t="shared" si="2"/>
        <v>0</v>
      </c>
      <c r="M6" s="13">
        <f t="shared" si="2"/>
        <v>3874.55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1068</v>
      </c>
      <c r="AW6" s="1582"/>
      <c r="AX6" s="1582"/>
      <c r="AY6" s="18">
        <f>IF(AY3&gt;0,AY3,ROUND($A$3*AZ5/$B$3,2))</f>
        <v>12540.52</v>
      </c>
      <c r="AZ6" s="13" t="s">
        <v>2</v>
      </c>
      <c r="BA6" s="13">
        <f>ROUND($AY$6*BA5/$AZ$5,2)</f>
        <v>12540.52</v>
      </c>
      <c r="BB6" s="13">
        <f>ROUND($AY$6*BB5/$AZ$5,2)</f>
        <v>2506.06</v>
      </c>
      <c r="BC6" s="13">
        <f t="shared" ref="BC6:BH6" si="4">ROUND($AY$6*BC5/$AZ$5,2)</f>
        <v>6159.91</v>
      </c>
      <c r="BD6" s="13">
        <f t="shared" si="4"/>
        <v>3874.55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5.2">
      <c r="A7" s="1565" t="s">
        <v>1069</v>
      </c>
      <c r="B7" s="1565" t="s">
        <v>1070</v>
      </c>
      <c r="C7" s="1565" t="s">
        <v>1071</v>
      </c>
      <c r="D7" s="1565" t="s">
        <v>1072</v>
      </c>
      <c r="E7" s="1565" t="s">
        <v>1073</v>
      </c>
      <c r="F7" s="1565" t="s">
        <v>1074</v>
      </c>
      <c r="G7" s="1586" t="s">
        <v>1075</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1076</v>
      </c>
      <c r="AV7" s="20" t="s">
        <v>1077</v>
      </c>
      <c r="AW7" s="1574" t="s">
        <v>1078</v>
      </c>
      <c r="AX7" s="20" t="s">
        <v>1071</v>
      </c>
      <c r="AY7" s="1343" t="s">
        <v>1079</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1080</v>
      </c>
      <c r="H8" s="1592" t="s">
        <v>1081</v>
      </c>
      <c r="I8" s="1593"/>
      <c r="J8" s="1356"/>
      <c r="K8" s="1356"/>
      <c r="L8" s="1356"/>
      <c r="M8" s="1356"/>
      <c r="N8" s="1356"/>
      <c r="O8" s="1356"/>
      <c r="P8" s="1356"/>
      <c r="Q8" s="1356"/>
      <c r="R8" s="1356"/>
      <c r="S8" s="1356"/>
      <c r="T8" s="1356"/>
      <c r="U8" s="1356"/>
      <c r="V8" s="1594"/>
      <c r="W8" s="1356"/>
      <c r="X8" s="1356"/>
      <c r="Y8" s="1356"/>
      <c r="Z8" s="1356"/>
      <c r="AA8" s="1594"/>
      <c r="AB8" s="1595"/>
      <c r="AC8" s="805" t="s">
        <v>1082</v>
      </c>
      <c r="AD8" s="1596"/>
      <c r="AE8" s="1588"/>
      <c r="AF8" s="1356"/>
      <c r="AG8" s="1356"/>
      <c r="AH8" s="1356"/>
      <c r="AI8" s="1356"/>
      <c r="AJ8" s="1356"/>
      <c r="AK8" s="1356"/>
      <c r="AL8" s="1356"/>
      <c r="AM8" s="1356"/>
      <c r="AN8" s="1356"/>
      <c r="AO8" s="1356"/>
      <c r="AP8" s="1356"/>
      <c r="AQ8" s="1356"/>
      <c r="AR8" s="1356"/>
      <c r="AS8" s="1356"/>
      <c r="AT8" s="1066" t="s">
        <v>1083</v>
      </c>
      <c r="AU8" s="1590" t="s">
        <v>1084</v>
      </c>
      <c r="AV8" s="1066"/>
      <c r="AW8" s="1573"/>
      <c r="AX8" s="1066"/>
      <c r="AY8" s="1574" t="s">
        <v>1085</v>
      </c>
      <c r="AZ8" s="1355" t="s">
        <v>1086</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1087</v>
      </c>
      <c r="I9" s="1599" t="s">
        <v>3394</v>
      </c>
      <c r="J9" s="805"/>
      <c r="K9" s="1599" t="s">
        <v>3395</v>
      </c>
      <c r="L9" s="805"/>
      <c r="M9" s="1599" t="s">
        <v>3395</v>
      </c>
      <c r="N9" s="805"/>
      <c r="O9" s="1599"/>
      <c r="P9" s="805"/>
      <c r="Q9" s="1599"/>
      <c r="R9" s="805"/>
      <c r="S9" s="1599"/>
      <c r="T9" s="805"/>
      <c r="U9" s="1599"/>
      <c r="V9" s="805"/>
      <c r="W9" s="1599"/>
      <c r="X9" s="1600"/>
      <c r="Y9" s="1599"/>
      <c r="Z9" s="805"/>
      <c r="AA9" s="1599"/>
      <c r="AB9" s="805"/>
      <c r="AC9" s="1591" t="s">
        <v>1087</v>
      </c>
      <c r="AD9" s="12" t="s">
        <v>1088</v>
      </c>
      <c r="AE9" s="1072"/>
      <c r="AF9" s="12" t="s">
        <v>1089</v>
      </c>
      <c r="AG9" s="1072"/>
      <c r="AH9" s="12" t="s">
        <v>1088</v>
      </c>
      <c r="AI9" s="1072"/>
      <c r="AJ9" s="12" t="s">
        <v>1089</v>
      </c>
      <c r="AK9" s="1072"/>
      <c r="AL9" s="12" t="s">
        <v>1088</v>
      </c>
      <c r="AM9" s="1072"/>
      <c r="AN9" s="12" t="s">
        <v>1089</v>
      </c>
      <c r="AO9" s="1072"/>
      <c r="AP9" s="12" t="s">
        <v>1088</v>
      </c>
      <c r="AQ9" s="1072"/>
      <c r="AR9" s="12" t="s">
        <v>1089</v>
      </c>
      <c r="AS9" s="1601"/>
      <c r="AT9" s="1590"/>
      <c r="AU9" s="1590" t="s">
        <v>1090</v>
      </c>
      <c r="AV9" s="1066"/>
      <c r="AW9" s="1573"/>
      <c r="AX9" s="1066"/>
      <c r="AY9" s="25"/>
      <c r="AZ9" s="25" t="s">
        <v>1080</v>
      </c>
      <c r="BA9" s="1602" t="s">
        <v>1091</v>
      </c>
      <c r="BB9" s="1603"/>
      <c r="BC9" s="1084"/>
      <c r="BD9" s="1084"/>
      <c r="BE9" s="1084"/>
      <c r="BF9" s="1084"/>
      <c r="BG9" s="1084"/>
      <c r="BH9" s="1084"/>
      <c r="BI9" s="1084"/>
      <c r="BJ9" s="1084"/>
      <c r="BK9" s="1604"/>
      <c r="BL9" s="12" t="s">
        <v>1092</v>
      </c>
      <c r="BM9" s="1356"/>
      <c r="BN9" s="1593"/>
      <c r="BO9" s="1356"/>
      <c r="BP9" s="1356"/>
      <c r="BQ9" s="1356"/>
      <c r="BR9" s="1356"/>
      <c r="BS9" s="1356"/>
      <c r="BT9" s="23"/>
    </row>
    <row r="10" spans="1:72" s="1597" customFormat="1" ht="13.2">
      <c r="A10" s="1590"/>
      <c r="B10" s="1590"/>
      <c r="C10" s="1590"/>
      <c r="D10" s="1590"/>
      <c r="E10" s="1590"/>
      <c r="F10" s="1590"/>
      <c r="G10" s="1066"/>
      <c r="H10" s="25"/>
      <c r="I10" s="1599" t="s">
        <v>669</v>
      </c>
      <c r="J10" s="805"/>
      <c r="K10" s="1605" t="s">
        <v>669</v>
      </c>
      <c r="L10" s="805"/>
      <c r="M10" s="1605" t="s">
        <v>3396</v>
      </c>
      <c r="N10" s="805"/>
      <c r="O10" s="1605"/>
      <c r="P10" s="805"/>
      <c r="Q10" s="1605"/>
      <c r="R10" s="805"/>
      <c r="S10" s="1605"/>
      <c r="T10" s="805"/>
      <c r="U10" s="1605"/>
      <c r="V10" s="805"/>
      <c r="W10" s="1605"/>
      <c r="X10" s="805"/>
      <c r="Y10" s="1605"/>
      <c r="Z10" s="805"/>
      <c r="AA10" s="1605"/>
      <c r="AB10" s="805"/>
      <c r="AC10" s="1066"/>
      <c r="AD10" s="12" t="s">
        <v>1093</v>
      </c>
      <c r="AE10" s="1606"/>
      <c r="AF10" s="12" t="s">
        <v>1093</v>
      </c>
      <c r="AG10" s="1606"/>
      <c r="AH10" s="12" t="s">
        <v>1094</v>
      </c>
      <c r="AI10" s="1606"/>
      <c r="AJ10" s="12" t="s">
        <v>1094</v>
      </c>
      <c r="AK10" s="1606"/>
      <c r="AL10" s="12" t="s">
        <v>1095</v>
      </c>
      <c r="AM10" s="1072"/>
      <c r="AN10" s="12" t="s">
        <v>1095</v>
      </c>
      <c r="AO10" s="1072"/>
      <c r="AP10" s="12" t="s">
        <v>1096</v>
      </c>
      <c r="AQ10" s="1072"/>
      <c r="AR10" s="12" t="s">
        <v>1096</v>
      </c>
      <c r="AS10" s="1072"/>
      <c r="AT10" s="1590"/>
      <c r="AU10" s="1590"/>
      <c r="AV10" s="1066"/>
      <c r="AW10" s="1573"/>
      <c r="AX10" s="1066"/>
      <c r="AY10" s="25"/>
      <c r="AZ10" s="25"/>
      <c r="BA10" s="1607" t="s">
        <v>1087</v>
      </c>
      <c r="BB10" s="1608" t="str">
        <f>I9</f>
        <v>地上</v>
      </c>
      <c r="BC10" s="26" t="str">
        <f>K9</f>
        <v>地下</v>
      </c>
      <c r="BD10" s="26" t="str">
        <f>M9</f>
        <v>地下</v>
      </c>
      <c r="BE10" s="26">
        <f>O9</f>
        <v>0</v>
      </c>
      <c r="BF10" s="26">
        <f>Q9</f>
        <v>0</v>
      </c>
      <c r="BG10" s="26">
        <f>S9</f>
        <v>0</v>
      </c>
      <c r="BH10" s="26">
        <f>U9</f>
        <v>0</v>
      </c>
      <c r="BI10" s="26">
        <f>W9</f>
        <v>0</v>
      </c>
      <c r="BJ10" s="26">
        <f>Y9</f>
        <v>0</v>
      </c>
      <c r="BK10" s="26">
        <f>AA9</f>
        <v>0</v>
      </c>
      <c r="BL10" s="22" t="s">
        <v>1087</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1097</v>
      </c>
      <c r="AE11" s="1357"/>
      <c r="AF11" s="1612" t="s">
        <v>1097</v>
      </c>
      <c r="AG11" s="1357"/>
      <c r="AH11" s="1612" t="s">
        <v>1098</v>
      </c>
      <c r="AI11" s="1613"/>
      <c r="AJ11" s="1612" t="s">
        <v>1098</v>
      </c>
      <c r="AK11" s="1357"/>
      <c r="AL11" s="1355"/>
      <c r="AM11" s="1357"/>
      <c r="AN11" s="1355"/>
      <c r="AO11" s="1357"/>
      <c r="AP11" s="1355"/>
      <c r="AQ11" s="1357"/>
      <c r="AR11" s="1355"/>
      <c r="AS11" s="1357"/>
      <c r="AT11" s="1573"/>
      <c r="AU11" s="1590"/>
      <c r="AV11" s="1066"/>
      <c r="AW11" s="1573"/>
      <c r="AX11" s="1066"/>
      <c r="AY11" s="25"/>
      <c r="AZ11" s="25"/>
      <c r="BA11" s="25"/>
      <c r="BB11" s="1595" t="str">
        <f>I10</f>
        <v>商业</v>
      </c>
      <c r="BC11" s="1595" t="str">
        <f>K10</f>
        <v>商业</v>
      </c>
      <c r="BD11" s="1595" t="str">
        <f>M10</f>
        <v>车库—商业</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2" t="s">
        <v>1100</v>
      </c>
      <c r="W12" s="8" t="s">
        <v>1099</v>
      </c>
      <c r="X12" s="8" t="s">
        <v>1100</v>
      </c>
      <c r="Y12" s="8" t="s">
        <v>1099</v>
      </c>
      <c r="Z12" s="8" t="s">
        <v>1100</v>
      </c>
      <c r="AA12" s="8" t="s">
        <v>1099</v>
      </c>
      <c r="AB12" s="8" t="s">
        <v>1100</v>
      </c>
      <c r="AC12" s="1617"/>
      <c r="AD12" s="1345"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5" t="s">
        <v>1100</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1047"/>
      <c r="D13" s="1621" t="s">
        <v>3393</v>
      </c>
      <c r="E13" s="13">
        <f>IF($C$3="是",ROUND($A$3*G13/$B$3,2),ROUND($A$3*(G13-AT13)/$B$3,2))</f>
        <v>12540.52</v>
      </c>
      <c r="F13" s="29"/>
      <c r="G13" s="30">
        <f>H13+AC13+AT13</f>
        <v>99232.329999999987</v>
      </c>
      <c r="H13" s="17">
        <f>SUMIF(I$12:AB$12,"总值",I13:AB13)</f>
        <v>99232.329999999987</v>
      </c>
      <c r="I13" s="1622">
        <f>Sheet1!C8+Sheet1!C9</f>
        <v>19830.27</v>
      </c>
      <c r="J13" s="1622"/>
      <c r="K13" s="1622">
        <f>Sheet1!C10+Sheet1!C11</f>
        <v>48742.99</v>
      </c>
      <c r="L13" s="1622"/>
      <c r="M13" s="1622">
        <f>Sheet1!C12</f>
        <v>30659.07</v>
      </c>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12540.52</v>
      </c>
      <c r="AZ13" s="13">
        <f>BA13+BL13</f>
        <v>99232.329999999987</v>
      </c>
      <c r="BA13" s="13">
        <f>SUM(BB13:BK13)</f>
        <v>99232.329999999987</v>
      </c>
      <c r="BB13" s="13">
        <f>IF($D13="是",I13-J13,0)</f>
        <v>19830.27</v>
      </c>
      <c r="BC13" s="13">
        <f>IF($D13="是",K13-L13,0)</f>
        <v>48742.99</v>
      </c>
      <c r="BD13" s="13">
        <f>IF($D13="是",M13-N13,0)</f>
        <v>30659.07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3.2">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workbookViewId="0">
      <selection activeCell="E10" sqref="E10"/>
    </sheetView>
  </sheetViews>
  <sheetFormatPr defaultColWidth="9" defaultRowHeight="12"/>
  <cols>
    <col min="1" max="1" width="9" style="3470"/>
    <col min="2" max="2" width="16.88671875" style="3470" customWidth="1"/>
    <col min="3" max="3" width="11.21875" style="3470" customWidth="1"/>
    <col min="4" max="7" width="9" style="3470"/>
    <col min="8" max="8" width="10.44140625" style="3470" bestFit="1" customWidth="1"/>
    <col min="9" max="16384" width="9" style="3470"/>
  </cols>
  <sheetData>
    <row r="2" spans="2:8">
      <c r="B2" s="3470" t="s">
        <v>3384</v>
      </c>
      <c r="C2" s="3470" t="s">
        <v>3385</v>
      </c>
      <c r="D2" s="3470">
        <v>19830.27</v>
      </c>
    </row>
    <row r="3" spans="2:8">
      <c r="B3" s="3470" t="s">
        <v>3373</v>
      </c>
      <c r="C3" s="3470" t="s">
        <v>3386</v>
      </c>
      <c r="D3" s="3471">
        <v>62645.83</v>
      </c>
      <c r="E3" s="3471"/>
      <c r="F3" s="3471"/>
    </row>
    <row r="4" spans="2:8">
      <c r="B4" s="3470" t="s">
        <v>3387</v>
      </c>
      <c r="C4" s="3470" t="s">
        <v>3388</v>
      </c>
      <c r="D4" s="3470">
        <v>16756.23</v>
      </c>
    </row>
    <row r="7" spans="2:8">
      <c r="C7" s="3470" t="s">
        <v>3374</v>
      </c>
      <c r="D7" s="3470">
        <v>1</v>
      </c>
      <c r="E7" s="3470">
        <v>2</v>
      </c>
      <c r="F7" s="3470">
        <v>3</v>
      </c>
    </row>
    <row r="8" spans="2:8">
      <c r="B8" s="3470" t="s">
        <v>3375</v>
      </c>
      <c r="C8" s="3470">
        <f>SUM(D8:F8)</f>
        <v>8567.73</v>
      </c>
      <c r="D8" s="3470">
        <f>19830.27-11262.54</f>
        <v>8567.73</v>
      </c>
      <c r="G8" s="3470">
        <v>48000</v>
      </c>
      <c r="H8" s="3470">
        <f>G8*C8</f>
        <v>411251040</v>
      </c>
    </row>
    <row r="9" spans="2:8">
      <c r="B9" s="3470" t="s">
        <v>3376</v>
      </c>
      <c r="C9" s="3470">
        <f t="shared" ref="C9" si="0">SUM(D9:F9)</f>
        <v>11262.54</v>
      </c>
      <c r="D9" s="3470">
        <v>11262.54</v>
      </c>
      <c r="G9" s="3470">
        <v>40000</v>
      </c>
      <c r="H9" s="3470">
        <f t="shared" ref="H9:H12" si="1">G9*C9</f>
        <v>450501600.00000006</v>
      </c>
    </row>
    <row r="10" spans="2:8">
      <c r="B10" s="3470" t="s">
        <v>3377</v>
      </c>
      <c r="C10" s="3470">
        <f>SUM(D10:F10)</f>
        <v>2297.4300000000003</v>
      </c>
      <c r="E10" s="3470">
        <f>356.75+1940.68</f>
        <v>2297.4300000000003</v>
      </c>
      <c r="G10" s="3470">
        <v>20000</v>
      </c>
      <c r="H10" s="3470">
        <f t="shared" si="1"/>
        <v>45948600.000000007</v>
      </c>
    </row>
    <row r="11" spans="2:8">
      <c r="B11" s="3470" t="s">
        <v>3378</v>
      </c>
      <c r="C11" s="3470">
        <f>SUM(D11:F11)</f>
        <v>46445.56</v>
      </c>
      <c r="E11" s="3470">
        <f>17479.34+12209.99</f>
        <v>29689.33</v>
      </c>
      <c r="F11" s="3470">
        <v>16756.23</v>
      </c>
      <c r="G11" s="3470">
        <v>16000</v>
      </c>
      <c r="H11" s="3470">
        <f t="shared" si="1"/>
        <v>743128960</v>
      </c>
    </row>
    <row r="12" spans="2:8">
      <c r="B12" s="3470" t="s">
        <v>3379</v>
      </c>
      <c r="C12" s="3470">
        <f>SUM(D12:F12)</f>
        <v>30659.07</v>
      </c>
      <c r="E12" s="3470">
        <v>30659.07</v>
      </c>
      <c r="G12" s="3470">
        <v>7500</v>
      </c>
      <c r="H12" s="3470">
        <f t="shared" si="1"/>
        <v>229943025</v>
      </c>
    </row>
    <row r="13" spans="2:8">
      <c r="H13" s="3470">
        <f>SUM(H8:H12)/10000</f>
        <v>188077.32250000001</v>
      </c>
    </row>
    <row r="18" spans="2:4">
      <c r="B18" s="3470" t="s">
        <v>3380</v>
      </c>
      <c r="C18" s="3470">
        <f>SUM(C8:C12)</f>
        <v>99232.329999999987</v>
      </c>
    </row>
    <row r="19" spans="2:4">
      <c r="B19" s="3470" t="s">
        <v>3381</v>
      </c>
      <c r="C19" s="3489">
        <v>608100</v>
      </c>
      <c r="D19" s="3489" t="s">
        <v>3457</v>
      </c>
    </row>
    <row r="20" spans="2:4">
      <c r="B20" s="3470" t="s">
        <v>3382</v>
      </c>
      <c r="C20" s="3470">
        <v>76848.83</v>
      </c>
    </row>
    <row r="21" spans="2:4">
      <c r="B21" s="3470" t="s">
        <v>3383</v>
      </c>
      <c r="C21" s="3470">
        <f>ROUND(C18/C19*C20,2)</f>
        <v>12540.52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3" zoomScale="70" zoomScaleNormal="100" zoomScaleSheetLayoutView="70" workbookViewId="0">
      <selection activeCell="G20" sqref="G20"/>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5"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1126</v>
      </c>
      <c r="B1" s="1135"/>
      <c r="C1" s="1135"/>
      <c r="D1" s="1135"/>
      <c r="E1" s="1135"/>
      <c r="F1" s="1135"/>
      <c r="G1" s="1135"/>
      <c r="H1" s="1135"/>
      <c r="I1" s="1135"/>
      <c r="J1" s="1135"/>
      <c r="K1" s="1135"/>
      <c r="L1" s="1135"/>
      <c r="M1" s="1135"/>
      <c r="N1" s="1135"/>
      <c r="O1" s="1135"/>
      <c r="P1" s="1135"/>
    </row>
    <row r="2" spans="1:16" ht="14.4">
      <c r="A2" s="3675" t="s">
        <v>1127</v>
      </c>
      <c r="B2" s="3675"/>
      <c r="C2" s="3675"/>
      <c r="D2" s="792" t="s">
        <v>1103</v>
      </c>
      <c r="E2" s="1635" t="s">
        <v>1104</v>
      </c>
      <c r="F2" s="2655"/>
      <c r="G2" s="2646"/>
      <c r="H2" s="2647"/>
      <c r="I2" s="2321" t="s">
        <v>1128</v>
      </c>
      <c r="J2" s="2655"/>
      <c r="K2" s="2655"/>
      <c r="L2" s="2655"/>
      <c r="M2" s="2655"/>
      <c r="N2" s="2657"/>
      <c r="O2" s="2655"/>
      <c r="P2" s="2655"/>
    </row>
    <row r="3" spans="1:16" ht="15" thickBot="1">
      <c r="A3" s="3676" t="s">
        <v>1101</v>
      </c>
      <c r="B3" s="3676"/>
      <c r="C3" s="3676"/>
      <c r="D3" s="43">
        <f>'数据-基础表'!AY6</f>
        <v>12540.52</v>
      </c>
      <c r="E3" s="43">
        <f>'数据-基础表'!AZ5</f>
        <v>99232.329999999987</v>
      </c>
      <c r="F3" s="2655"/>
      <c r="G3" s="1141"/>
      <c r="H3" s="1022" t="s">
        <v>1102</v>
      </c>
      <c r="I3" s="851">
        <f>ROUND('数据-基础表'!B3/'数据-基础表'!A3,2)</f>
        <v>7.91</v>
      </c>
      <c r="J3" s="2655"/>
      <c r="K3" s="2655"/>
      <c r="L3" s="2655"/>
      <c r="M3" s="2655"/>
      <c r="N3" s="2657"/>
      <c r="O3" s="2655"/>
      <c r="P3" s="2655"/>
    </row>
    <row r="4" spans="1:16" ht="14.4">
      <c r="A4" s="3677"/>
      <c r="B4" s="3678"/>
      <c r="C4" s="3679"/>
      <c r="D4" s="1637" t="s">
        <v>1103</v>
      </c>
      <c r="E4" s="1638" t="s">
        <v>1104</v>
      </c>
      <c r="F4" s="2655"/>
      <c r="G4" s="2648" t="s">
        <v>1129</v>
      </c>
      <c r="H4" s="1022" t="s">
        <v>1109</v>
      </c>
      <c r="I4" s="851">
        <f>ROUND(SUMIF('数据-基础表'!I9:AS9,"地上",'数据-基础表'!I5:AS5)/'数据-基础表'!A3,2)</f>
        <v>1.58</v>
      </c>
      <c r="J4" s="2655"/>
      <c r="K4" s="2655"/>
      <c r="L4" s="2655"/>
      <c r="M4" s="2655"/>
      <c r="N4" s="2657"/>
      <c r="O4" s="2655"/>
      <c r="P4" s="2655"/>
    </row>
    <row r="5" spans="1:16" ht="14.4">
      <c r="A5" s="44" t="s">
        <v>1105</v>
      </c>
      <c r="B5" s="3680" t="s">
        <v>1106</v>
      </c>
      <c r="C5" s="3680"/>
      <c r="D5" s="45">
        <f>ROUND($D$3*E5/$E$3,2)</f>
        <v>0</v>
      </c>
      <c r="E5" s="46">
        <f>SUMIF('数据-基础表'!$11:$11,"住宅",'数据-基础表'!$5:$5)</f>
        <v>0</v>
      </c>
      <c r="F5" s="2655"/>
      <c r="G5" s="1141"/>
      <c r="H5" s="1022" t="s">
        <v>1102</v>
      </c>
      <c r="I5" s="851">
        <f>ROUND(E31/D31,2)</f>
        <v>7.91</v>
      </c>
      <c r="J5" s="2655"/>
      <c r="K5" s="2655"/>
      <c r="L5" s="2655"/>
      <c r="M5" s="2655"/>
      <c r="N5" s="2655"/>
      <c r="O5" s="2655"/>
      <c r="P5" s="2655"/>
    </row>
    <row r="6" spans="1:16" ht="15" thickBot="1">
      <c r="A6" s="1640"/>
      <c r="B6" s="3680" t="s">
        <v>1107</v>
      </c>
      <c r="C6" s="3680"/>
      <c r="D6" s="45">
        <f>ROUND($D$3*E6/$E$3,2)</f>
        <v>12540.52</v>
      </c>
      <c r="E6" s="46">
        <f>E3-E5</f>
        <v>99232.329999999987</v>
      </c>
      <c r="F6" s="2655"/>
      <c r="G6" s="2649" t="s">
        <v>1108</v>
      </c>
      <c r="H6" s="1142" t="s">
        <v>1109</v>
      </c>
      <c r="I6" s="2650">
        <f>ROUND(F31/D31,2)</f>
        <v>1.58</v>
      </c>
      <c r="J6" s="2655"/>
      <c r="K6" s="2655"/>
      <c r="L6" s="2655"/>
      <c r="M6" s="2655"/>
      <c r="N6" s="2655"/>
      <c r="O6" s="2655"/>
      <c r="P6" s="2655"/>
    </row>
    <row r="7" spans="1:16" ht="15" thickBot="1">
      <c r="A7" s="3672"/>
      <c r="B7" s="3673"/>
      <c r="C7" s="3674"/>
      <c r="D7" s="1637" t="s">
        <v>1103</v>
      </c>
      <c r="E7" s="1641" t="s">
        <v>1110</v>
      </c>
      <c r="F7" s="2655"/>
      <c r="G7" s="2651" t="s">
        <v>1111</v>
      </c>
      <c r="H7" s="2652"/>
      <c r="I7" s="2653">
        <v>5.07</v>
      </c>
      <c r="J7" s="2655"/>
      <c r="K7" s="2655"/>
      <c r="L7" s="2655"/>
      <c r="M7" s="2655"/>
      <c r="N7" s="2655"/>
      <c r="O7" s="2655"/>
      <c r="P7" s="2655"/>
    </row>
    <row r="8" spans="1:16" ht="14.4">
      <c r="A8" s="44" t="s">
        <v>1112</v>
      </c>
      <c r="B8" s="47" t="s">
        <v>1113</v>
      </c>
      <c r="C8" s="45" t="s">
        <v>1114</v>
      </c>
      <c r="D8" s="45">
        <f t="shared" ref="D8:D15" si="0">ROUND($D$3*E8/$E$3,2)</f>
        <v>2506.06</v>
      </c>
      <c r="E8" s="48">
        <f>SUMIF('数据-基础表'!BB10:BK10,"地上",'数据-基础表'!BB5:BK5)</f>
        <v>19830.27</v>
      </c>
      <c r="F8" s="2655"/>
      <c r="G8" s="2656"/>
      <c r="H8" s="2656"/>
      <c r="I8" s="2655"/>
      <c r="J8" s="2655"/>
      <c r="K8" s="2655"/>
      <c r="L8" s="2655"/>
      <c r="M8" s="2655"/>
      <c r="N8" s="2655"/>
      <c r="O8" s="2655"/>
      <c r="P8" s="2655"/>
    </row>
    <row r="9" spans="1:16" ht="14.4">
      <c r="A9" s="1642"/>
      <c r="B9" s="1643"/>
      <c r="C9" s="45" t="s">
        <v>1115</v>
      </c>
      <c r="D9" s="45">
        <f t="shared" si="0"/>
        <v>0</v>
      </c>
      <c r="E9" s="49">
        <v>0</v>
      </c>
      <c r="F9" s="2655"/>
      <c r="G9" s="2656"/>
      <c r="H9" s="2656"/>
      <c r="I9" s="2655"/>
      <c r="J9" s="2655"/>
      <c r="K9" s="2655"/>
      <c r="L9" s="2655"/>
      <c r="M9" s="2655"/>
      <c r="N9" s="2655"/>
      <c r="O9" s="2655"/>
      <c r="P9" s="2655"/>
    </row>
    <row r="10" spans="1:16" ht="14.4">
      <c r="A10" s="1642"/>
      <c r="B10" s="1643"/>
      <c r="C10" s="45" t="s">
        <v>1124</v>
      </c>
      <c r="D10" s="45">
        <f t="shared" si="0"/>
        <v>6159.91</v>
      </c>
      <c r="E10" s="48">
        <f>SUMPRODUCT(('数据-基础表'!BB10:BK10="地下")*('数据-基础表'!BB11:BK11="商业")*('数据-基础表'!BB5:BK5))</f>
        <v>48742.99</v>
      </c>
      <c r="F10" s="2655"/>
      <c r="G10" s="2656"/>
      <c r="H10" s="2656"/>
      <c r="I10" s="2655"/>
      <c r="J10" s="2655"/>
      <c r="K10" s="2655"/>
      <c r="L10" s="2655"/>
      <c r="M10" s="2655"/>
      <c r="N10" s="2655"/>
      <c r="O10" s="2655"/>
      <c r="P10" s="2655"/>
    </row>
    <row r="11" spans="1:16" ht="14.4">
      <c r="A11" s="1642"/>
      <c r="B11" s="1643"/>
      <c r="C11" s="45" t="s">
        <v>1116</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2"/>
      <c r="B12" s="1643"/>
      <c r="C12" s="45" t="s">
        <v>1117</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2"/>
      <c r="B13" s="1643"/>
      <c r="C13" s="45" t="s">
        <v>1118</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2"/>
      <c r="B14" s="1643"/>
      <c r="C14" s="45" t="s">
        <v>1130</v>
      </c>
      <c r="D14" s="45">
        <f t="shared" si="0"/>
        <v>3874.55</v>
      </c>
      <c r="E14" s="48">
        <f>SUMPRODUCT(('数据-基础表'!BB10:BK10="地下")*('数据-基础表'!BB11:BK11="车库—商业")*('数据-基础表'!BB5:BK5))</f>
        <v>30659.07</v>
      </c>
      <c r="F14" s="2655"/>
      <c r="G14" s="2656"/>
      <c r="H14" s="2656"/>
      <c r="I14" s="2655"/>
      <c r="J14" s="2655"/>
      <c r="K14" s="2655"/>
      <c r="L14" s="2655"/>
      <c r="M14" s="2655"/>
      <c r="N14" s="2655"/>
      <c r="O14" s="2655"/>
      <c r="P14" s="2655"/>
    </row>
    <row r="15" spans="1:16" ht="15" thickBot="1">
      <c r="A15" s="1642"/>
      <c r="B15" s="1643"/>
      <c r="C15" s="45" t="s">
        <v>1125</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0"/>
      <c r="B16" s="1643"/>
      <c r="C16" s="47" t="s">
        <v>1119</v>
      </c>
      <c r="D16" s="47">
        <f>SUM(D8:D15)</f>
        <v>12540.52</v>
      </c>
      <c r="E16" s="50">
        <f>SUM(E8:E15)</f>
        <v>99232.329999999987</v>
      </c>
      <c r="F16" s="2655"/>
      <c r="G16" s="2656"/>
      <c r="H16" s="1644" t="s">
        <v>1131</v>
      </c>
      <c r="I16" s="1645"/>
      <c r="J16" s="1135"/>
      <c r="K16" s="3669" t="s">
        <v>1131</v>
      </c>
      <c r="L16" s="3670"/>
      <c r="M16" s="3670"/>
      <c r="N16" s="3670"/>
      <c r="O16" s="3670"/>
      <c r="P16" s="3671"/>
    </row>
    <row r="17" spans="1:19" ht="14.4">
      <c r="A17" s="1646" t="s">
        <v>1132</v>
      </c>
      <c r="B17" s="1647" t="s">
        <v>1133</v>
      </c>
      <c r="C17" s="1648" t="s">
        <v>1134</v>
      </c>
      <c r="D17" s="1649" t="s">
        <v>1122</v>
      </c>
      <c r="E17" s="1650" t="s">
        <v>1123</v>
      </c>
      <c r="F17" s="1651"/>
      <c r="G17" s="1652"/>
      <c r="H17" s="1653" t="s">
        <v>1135</v>
      </c>
      <c r="I17" s="1654" t="s">
        <v>1120</v>
      </c>
      <c r="J17" s="1135"/>
      <c r="K17" s="3666" t="s">
        <v>1136</v>
      </c>
      <c r="L17" s="3667"/>
      <c r="M17" s="3668"/>
      <c r="N17" s="3666" t="s">
        <v>1137</v>
      </c>
      <c r="O17" s="3667"/>
      <c r="P17" s="3668"/>
      <c r="R17" s="1636" t="s">
        <v>1138</v>
      </c>
      <c r="S17" s="56"/>
    </row>
    <row r="18" spans="1:19" ht="14.4">
      <c r="A18" s="1642"/>
      <c r="B18" s="1655"/>
      <c r="C18" s="1656"/>
      <c r="D18" s="1657"/>
      <c r="E18" s="1658" t="s">
        <v>1139</v>
      </c>
      <c r="F18" s="1659" t="s">
        <v>1140</v>
      </c>
      <c r="G18" s="1660" t="s">
        <v>1141</v>
      </c>
      <c r="H18" s="1037" t="s">
        <v>1142</v>
      </c>
      <c r="I18" s="1661" t="s">
        <v>1143</v>
      </c>
      <c r="J18" s="1135"/>
      <c r="K18" s="1037" t="s">
        <v>1144</v>
      </c>
      <c r="L18" s="1662" t="s">
        <v>1145</v>
      </c>
      <c r="M18" s="851" t="s">
        <v>1146</v>
      </c>
      <c r="N18" s="1037" t="s">
        <v>1144</v>
      </c>
      <c r="O18" s="1662" t="s">
        <v>1145</v>
      </c>
      <c r="P18" s="851" t="s">
        <v>1146</v>
      </c>
      <c r="R18" s="1022" t="s">
        <v>1147</v>
      </c>
      <c r="S18" s="1022" t="s">
        <v>1148</v>
      </c>
    </row>
    <row r="19" spans="1:19" ht="14.4">
      <c r="A19" s="1663"/>
      <c r="B19" s="47" t="s">
        <v>1121</v>
      </c>
      <c r="C19" s="3413" t="s">
        <v>3398</v>
      </c>
      <c r="D19" s="45">
        <f>ROUND($D$3*E19/$E$3,2)</f>
        <v>2506.06</v>
      </c>
      <c r="E19" s="53">
        <f t="shared" ref="E19:E26" si="1">SUM(F19:G19)</f>
        <v>19830.27</v>
      </c>
      <c r="F19" s="2791">
        <f>'数据-基础表'!I13</f>
        <v>19830.27</v>
      </c>
      <c r="G19" s="2792"/>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2506.06</v>
      </c>
      <c r="S19" s="1023">
        <f t="shared" si="5"/>
        <v>19830.27</v>
      </c>
    </row>
    <row r="20" spans="1:19" ht="14.4">
      <c r="A20" s="1666"/>
      <c r="B20" s="47" t="s">
        <v>1149</v>
      </c>
      <c r="C20" s="3413" t="s">
        <v>3400</v>
      </c>
      <c r="D20" s="45">
        <f t="shared" ref="D20:D26" si="6">ROUND($D$3*E20/$E$3,2)</f>
        <v>4042.34</v>
      </c>
      <c r="E20" s="53">
        <f t="shared" si="1"/>
        <v>31986.760000000002</v>
      </c>
      <c r="F20" s="2791"/>
      <c r="G20" s="2792">
        <f>Sheet1!E10+Sheet1!E11</f>
        <v>31986.760000000002</v>
      </c>
      <c r="H20" s="669">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4042.34</v>
      </c>
      <c r="S20" s="1023">
        <f t="shared" si="5"/>
        <v>31986.760000000002</v>
      </c>
    </row>
    <row r="21" spans="1:19" ht="14.4">
      <c r="A21" s="1666"/>
      <c r="B21" s="47" t="s">
        <v>1149</v>
      </c>
      <c r="C21" s="3413" t="s">
        <v>3402</v>
      </c>
      <c r="D21" s="45">
        <f t="shared" si="6"/>
        <v>3874.55</v>
      </c>
      <c r="E21" s="53">
        <f t="shared" si="1"/>
        <v>30659.07</v>
      </c>
      <c r="F21" s="2791"/>
      <c r="G21" s="2792">
        <f>'数据-基础表'!M13</f>
        <v>30659.07</v>
      </c>
      <c r="H21" s="669">
        <f t="shared" si="7"/>
        <v>0</v>
      </c>
      <c r="I21" s="48">
        <f t="shared" si="2"/>
        <v>0</v>
      </c>
      <c r="J21" s="1135"/>
      <c r="K21" s="1134">
        <f t="shared" si="3"/>
        <v>0</v>
      </c>
      <c r="L21" s="1022">
        <f t="shared" si="4"/>
        <v>0</v>
      </c>
      <c r="M21" s="1146">
        <f t="shared" si="8"/>
        <v>0</v>
      </c>
      <c r="N21" s="1664"/>
      <c r="O21" s="1665"/>
      <c r="P21" s="1146">
        <f t="shared" si="9"/>
        <v>0</v>
      </c>
      <c r="R21" s="1022">
        <f t="shared" si="5"/>
        <v>3874.55</v>
      </c>
      <c r="S21" s="1023">
        <f t="shared" si="5"/>
        <v>30659.07</v>
      </c>
    </row>
    <row r="22" spans="1:19" ht="14.4">
      <c r="A22" s="1666"/>
      <c r="B22" s="47" t="s">
        <v>1149</v>
      </c>
      <c r="C22" s="3414" t="s">
        <v>3404</v>
      </c>
      <c r="D22" s="45">
        <f t="shared" si="6"/>
        <v>2117.5700000000002</v>
      </c>
      <c r="E22" s="53">
        <f t="shared" si="1"/>
        <v>16756.23</v>
      </c>
      <c r="F22" s="2793"/>
      <c r="G22" s="2794">
        <f>Sheet1!F11</f>
        <v>16756.23</v>
      </c>
      <c r="H22" s="669">
        <f t="shared" si="7"/>
        <v>0</v>
      </c>
      <c r="I22" s="48">
        <f t="shared" si="2"/>
        <v>0</v>
      </c>
      <c r="J22" s="1135"/>
      <c r="K22" s="1134">
        <f t="shared" si="3"/>
        <v>0</v>
      </c>
      <c r="L22" s="1022">
        <f t="shared" si="4"/>
        <v>0</v>
      </c>
      <c r="M22" s="1146">
        <f t="shared" si="8"/>
        <v>0</v>
      </c>
      <c r="N22" s="1664"/>
      <c r="O22" s="1665"/>
      <c r="P22" s="1146">
        <f t="shared" si="9"/>
        <v>0</v>
      </c>
      <c r="R22" s="1022">
        <f t="shared" si="5"/>
        <v>2117.5700000000002</v>
      </c>
      <c r="S22" s="1023">
        <f t="shared" si="5"/>
        <v>16756.23</v>
      </c>
    </row>
    <row r="23" spans="1:19" ht="14.4">
      <c r="A23" s="1666"/>
      <c r="B23" s="47" t="s">
        <v>1149</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1149</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1149</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1149</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1150</v>
      </c>
      <c r="D27" s="1136">
        <f>SUM(D19:D26)</f>
        <v>12540.52</v>
      </c>
      <c r="E27" s="1137">
        <f>IF(SUM(E19:E26)='数据-基础表'!BA5,SUM(E19:E26),IF(F27="地上面积有误","面积有误","地下面积有误"))</f>
        <v>99232.33</v>
      </c>
      <c r="F27" s="1136">
        <f>IF(SUM(F19:F26)=E8,SUM(F19:F26),"地上面积有误")</f>
        <v>19830.27</v>
      </c>
      <c r="G27" s="1138">
        <f>SUM(G19:G26)</f>
        <v>79402.06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12540.52</v>
      </c>
      <c r="S27" s="1022">
        <f>IF(SUM(S19:S26)=$E$3,SUM(S19:S26),SUM(S19:S26)&amp;"误差"&amp;ROUND(SUM(S19:S26)-E3,2))</f>
        <v>99232.33</v>
      </c>
    </row>
    <row r="28" spans="1:19" ht="14.4">
      <c r="A28" s="1666"/>
      <c r="B28" s="47" t="s">
        <v>1151</v>
      </c>
      <c r="C28" s="1034" t="s">
        <v>1152</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6"/>
      <c r="B29" s="47" t="s">
        <v>1151</v>
      </c>
      <c r="C29" s="1670" t="s">
        <v>1153</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6"/>
      <c r="B30" s="47"/>
      <c r="C30" s="1671" t="s">
        <v>1150</v>
      </c>
      <c r="D30" s="1136">
        <f>SUM(D28:D29)</f>
        <v>0</v>
      </c>
      <c r="E30" s="1136">
        <f>SUM(E28:E29)</f>
        <v>0</v>
      </c>
      <c r="F30" s="1136">
        <f>SUM(F28:F29)</f>
        <v>0</v>
      </c>
      <c r="G30" s="1138">
        <f>SUM(G28:G29)</f>
        <v>0</v>
      </c>
      <c r="H30" s="2655"/>
      <c r="I30" s="2655"/>
      <c r="J30" s="2655"/>
      <c r="K30" s="2655"/>
      <c r="L30" s="2655"/>
      <c r="M30" s="2655"/>
      <c r="N30" s="2655"/>
      <c r="O30" s="2655"/>
      <c r="P30" s="2655"/>
    </row>
    <row r="31" spans="1:19" ht="15" thickBot="1">
      <c r="A31" s="1672"/>
      <c r="B31" s="1673"/>
      <c r="C31" s="831" t="s">
        <v>1154</v>
      </c>
      <c r="D31" s="674">
        <f>D27+D30</f>
        <v>12540.52</v>
      </c>
      <c r="E31" s="674">
        <f>E27+E30</f>
        <v>99232.33</v>
      </c>
      <c r="F31" s="675">
        <f>F27+F30</f>
        <v>19830.27</v>
      </c>
      <c r="G31" s="676">
        <f>G27+G30</f>
        <v>79402.06</v>
      </c>
      <c r="H31" s="2655"/>
      <c r="I31" s="2655"/>
      <c r="J31" s="2655"/>
      <c r="K31" s="2655"/>
      <c r="L31" s="2655"/>
      <c r="M31" s="2655"/>
      <c r="N31" s="2655"/>
      <c r="O31" s="2655"/>
      <c r="P31" s="2655"/>
    </row>
    <row r="32" spans="1:19" ht="14.4">
      <c r="A32" s="1639"/>
      <c r="B32" s="1639" t="s">
        <v>1155</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F6" activePane="bottomRight" state="frozen"/>
      <selection activeCell="C50" sqref="C50"/>
      <selection pane="topRight" activeCell="C50" sqref="C50"/>
      <selection pane="bottomLeft" activeCell="C50" sqref="C50"/>
      <selection pane="bottomRight" activeCell="AK6" sqref="AK6:AK9"/>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8.4414062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1156</v>
      </c>
      <c r="B1" s="677"/>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 thickBot="1">
      <c r="A2" s="1679" t="s">
        <v>1157</v>
      </c>
      <c r="B2" s="1041">
        <f>项目基本情况!D3</f>
        <v>45086</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1158</v>
      </c>
      <c r="B4" s="1684"/>
      <c r="C4" s="1685"/>
      <c r="D4" s="1686"/>
      <c r="E4" s="1685" t="s">
        <v>1159</v>
      </c>
      <c r="F4" s="1685"/>
      <c r="G4" s="1685"/>
      <c r="H4" s="1685"/>
      <c r="I4" s="1685"/>
      <c r="J4" s="1687"/>
      <c r="K4" s="1688"/>
      <c r="L4" s="1689"/>
      <c r="M4" s="1685"/>
      <c r="N4" s="1685" t="s">
        <v>1160</v>
      </c>
      <c r="O4" s="1685"/>
      <c r="P4" s="1685"/>
      <c r="Q4" s="1685"/>
      <c r="R4" s="1685"/>
      <c r="S4" s="1687"/>
      <c r="T4" s="2654" t="str">
        <f>'数据-汇总表'!I17</f>
        <v>按面积比例</v>
      </c>
      <c r="U4" s="1684" t="s">
        <v>1161</v>
      </c>
      <c r="V4" s="1685"/>
      <c r="W4" s="1685"/>
      <c r="X4" s="1685"/>
      <c r="Y4" s="1687"/>
      <c r="Z4" s="1648" t="s">
        <v>1162</v>
      </c>
      <c r="AA4" s="1648"/>
      <c r="AB4" s="1648"/>
      <c r="AC4" s="1648"/>
      <c r="AD4" s="1648"/>
      <c r="AE4" s="1646" t="s">
        <v>1163</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1164</v>
      </c>
      <c r="B5" s="1692" t="s">
        <v>1165</v>
      </c>
      <c r="C5" s="1693" t="s">
        <v>1166</v>
      </c>
      <c r="D5" s="1694" t="s">
        <v>1167</v>
      </c>
      <c r="E5" s="1043" t="s">
        <v>1168</v>
      </c>
      <c r="F5" s="1695" t="s">
        <v>1169</v>
      </c>
      <c r="G5" s="1043" t="s">
        <v>1170</v>
      </c>
      <c r="H5" s="1043" t="s">
        <v>1171</v>
      </c>
      <c r="I5" s="1043" t="s">
        <v>1172</v>
      </c>
      <c r="J5" s="1696" t="s">
        <v>1173</v>
      </c>
      <c r="K5" s="1697" t="s">
        <v>1174</v>
      </c>
      <c r="L5" s="1698" t="s">
        <v>1175</v>
      </c>
      <c r="M5" s="1699" t="s">
        <v>1176</v>
      </c>
      <c r="N5" s="1700" t="s">
        <v>3405</v>
      </c>
      <c r="O5" s="1698" t="s">
        <v>1177</v>
      </c>
      <c r="P5" s="1701" t="s">
        <v>1178</v>
      </c>
      <c r="Q5" s="61" t="s">
        <v>1179</v>
      </c>
      <c r="R5" s="1702" t="s">
        <v>1180</v>
      </c>
      <c r="S5" s="1703" t="s">
        <v>1181</v>
      </c>
      <c r="T5" s="1704" t="s">
        <v>1182</v>
      </c>
      <c r="U5" s="1042" t="s">
        <v>1183</v>
      </c>
      <c r="V5" s="1043" t="s">
        <v>1184</v>
      </c>
      <c r="W5" s="1043" t="s">
        <v>1185</v>
      </c>
      <c r="X5" s="63"/>
      <c r="Y5" s="62" t="s">
        <v>1186</v>
      </c>
      <c r="Z5" s="1705" t="s">
        <v>1183</v>
      </c>
      <c r="AA5" s="1043" t="s">
        <v>1184</v>
      </c>
      <c r="AB5" s="1043" t="s">
        <v>1185</v>
      </c>
      <c r="AC5" s="63"/>
      <c r="AD5" s="63" t="s">
        <v>1186</v>
      </c>
      <c r="AE5" s="1042" t="s">
        <v>1187</v>
      </c>
      <c r="AF5" s="1043" t="s">
        <v>1188</v>
      </c>
      <c r="AG5" s="62" t="s">
        <v>1189</v>
      </c>
      <c r="AH5" s="1042" t="s">
        <v>1190</v>
      </c>
      <c r="AI5" s="1705" t="s">
        <v>1191</v>
      </c>
      <c r="AJ5" s="1705" t="s">
        <v>1192</v>
      </c>
      <c r="AK5" s="1043" t="s">
        <v>1193</v>
      </c>
      <c r="AL5" s="1043" t="s">
        <v>1194</v>
      </c>
      <c r="AM5" s="62" t="s">
        <v>1195</v>
      </c>
      <c r="AN5" s="1706" t="s">
        <v>1196</v>
      </c>
      <c r="AO5" s="1558" t="s">
        <v>1197</v>
      </c>
      <c r="AP5" s="1024" t="s">
        <v>1198</v>
      </c>
      <c r="AQ5" s="1707" t="s">
        <v>1199</v>
      </c>
      <c r="AR5" s="1707" t="s">
        <v>1200</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t="str">
        <f>'数据-汇总表'!C19</f>
        <v>地上商业</v>
      </c>
      <c r="B6" s="1709" t="str">
        <f>IF(A6=0,"","经营性")</f>
        <v>经营性</v>
      </c>
      <c r="C6" s="1710" t="s">
        <v>669</v>
      </c>
      <c r="D6" s="854">
        <f>SUMIF(项目基本情况!C$12:I$12,C6,项目基本情况!C$14:I$14)</f>
        <v>40</v>
      </c>
      <c r="E6" s="853">
        <f>IF(B6="","",SUMIF(项目基本情况!C$12:I$12,C6,项目基本情况!C$13:I$13))</f>
        <v>55156</v>
      </c>
      <c r="F6" s="64">
        <f>SUMIF(项目基本情况!C$12:I$12,C6,项目基本情况!C$15:I$15)</f>
        <v>27.58</v>
      </c>
      <c r="G6" s="65">
        <f>IF(ISERROR(ROUND(POWER(1+H6,D6-F6)*(POWER(1+H6,F6)-1)/(POWER(1+H6,D6)-1),3)),0,ROUND(POWER(1+H6,D6-F6)*(POWER(1+H6,F6)-1)/(POWER(1+H6,D6)-1),3))</f>
        <v>0.874</v>
      </c>
      <c r="H6" s="730">
        <v>5.5E-2</v>
      </c>
      <c r="I6" s="3479">
        <v>5.5E-2</v>
      </c>
      <c r="J6" s="66">
        <v>7.4999999999999997E-2</v>
      </c>
      <c r="K6" s="1026">
        <f>SUMIF('数据-汇总表'!C$19:C$33,A6,'数据-汇总表'!E$19:E$33)</f>
        <v>19830.27</v>
      </c>
      <c r="L6" s="731">
        <v>5500</v>
      </c>
      <c r="M6" s="67">
        <f t="shared" ref="M6:M14" si="0">ROUND(K6*L6/10000,0)</f>
        <v>10907</v>
      </c>
      <c r="N6" s="729">
        <f>ROUND(1-(2023-N19)/60,2)</f>
        <v>0.93</v>
      </c>
      <c r="O6" s="67" t="str">
        <f>IF($N$5="成新度","——",ROUND(M6*N6,0))</f>
        <v>——</v>
      </c>
      <c r="P6" s="68" t="str">
        <f>IF($N$5="成新度","——",M6-O6)</f>
        <v>——</v>
      </c>
      <c r="Q6" s="732">
        <v>0.2</v>
      </c>
      <c r="R6" s="69">
        <f ca="1">SUMIF('数据-汇总表'!C$19:C$33,A6,'数据-汇总表'!R$19:R$27)</f>
        <v>2506.06</v>
      </c>
      <c r="S6" s="51">
        <f>IF('数据-汇总表'!$I$17="按面积比例",SUMIF('数据-汇总表'!C$19:C$33,A6,'数据-汇总表'!K$19:K$33),SUMIF('数据-汇总表'!C$19:C$33,A6,'数据-汇总表'!N$19:N$33))</f>
        <v>0</v>
      </c>
      <c r="T6" s="1168">
        <f>ROUND($L$14*S6/10000,0)</f>
        <v>0</v>
      </c>
      <c r="U6" s="3424">
        <f>X23</f>
        <v>8.68</v>
      </c>
      <c r="V6" s="70">
        <v>0.03</v>
      </c>
      <c r="W6" s="70">
        <v>0.1</v>
      </c>
      <c r="X6" s="1036"/>
      <c r="Y6" s="71">
        <f>N6</f>
        <v>0.93</v>
      </c>
      <c r="Z6" s="72"/>
      <c r="AA6" s="66"/>
      <c r="AB6" s="66"/>
      <c r="AC6" s="1036"/>
      <c r="AD6" s="73"/>
      <c r="AE6" s="1037">
        <f ca="1">IF(AN6="",0,SUMIF(INDIRECT("'"&amp;AN6&amp;"'"&amp;"!E:E"),$AE$5,INDIRECT("'"&amp;AN6&amp;"'"&amp;"!F:F")))</f>
        <v>27.58</v>
      </c>
      <c r="AF6" s="1344"/>
      <c r="AG6" s="137">
        <f>IF(AF6="",0,AE6-AF6)</f>
        <v>0</v>
      </c>
      <c r="AH6" s="74"/>
      <c r="AI6" s="76">
        <v>365</v>
      </c>
      <c r="AJ6" s="77"/>
      <c r="AK6" s="3949">
        <v>7.0000000000000001E-3</v>
      </c>
      <c r="AL6" s="79">
        <v>1E-3</v>
      </c>
      <c r="AM6" s="80">
        <v>0.01</v>
      </c>
      <c r="AN6" s="1711" t="s">
        <v>3428</v>
      </c>
      <c r="AO6" s="52">
        <f ca="1">SUMIF(INDIRECT("'"&amp;AN6&amp;"'"&amp;"!A:A"),"总价",INDIRECT("'"&amp;AN6&amp;"'"&amp;"!B:B"))</f>
        <v>88595</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t="str">
        <f>'数据-汇总表'!C20</f>
        <v>地下商业1</v>
      </c>
      <c r="B7" s="1709" t="str">
        <f t="shared" ref="B7:B13" si="1">IF(A7=0,"","经营性")</f>
        <v>经营性</v>
      </c>
      <c r="C7" s="1710" t="s">
        <v>669</v>
      </c>
      <c r="D7" s="854">
        <f>SUMIF(项目基本情况!C$12:I$12,C7,项目基本情况!C$14:I$14)</f>
        <v>40</v>
      </c>
      <c r="E7" s="853">
        <f>IF(B7="","",SUMIF(项目基本情况!C$12:I$12,C7,项目基本情况!C$13:I$13))</f>
        <v>55156</v>
      </c>
      <c r="F7" s="64">
        <f>SUMIF(项目基本情况!C$12:I$12,C7,项目基本情况!C$15:I$15)</f>
        <v>27.58</v>
      </c>
      <c r="G7" s="65">
        <f t="shared" ref="G7:G11" si="2">IF(ISERROR(ROUND(POWER(1+H7,D7-F7)*(POWER(1+H7,F7)-1)/(POWER(1+H7,D7)-1),3)),0,ROUND(POWER(1+H7,D7-F7)*(POWER(1+H7,F7)-1)/(POWER(1+H7,D7)-1),3))</f>
        <v>0.874</v>
      </c>
      <c r="H7" s="730">
        <v>5.5E-2</v>
      </c>
      <c r="I7" s="3479">
        <f>I6</f>
        <v>5.5E-2</v>
      </c>
      <c r="J7" s="66">
        <v>7.4999999999999997E-2</v>
      </c>
      <c r="K7" s="1026">
        <f>SUMIF('数据-汇总表'!C$19:C$33,A7,'数据-汇总表'!E$19:E$33)</f>
        <v>31986.760000000002</v>
      </c>
      <c r="L7" s="3481">
        <v>5000</v>
      </c>
      <c r="M7" s="67">
        <f t="shared" si="0"/>
        <v>15993</v>
      </c>
      <c r="N7" s="729">
        <f>N6</f>
        <v>0.93</v>
      </c>
      <c r="O7" s="67" t="str">
        <f t="shared" ref="O7:O14" si="3">IF($N$5="成新度","——",ROUND(M7*N7,0))</f>
        <v>——</v>
      </c>
      <c r="P7" s="68" t="str">
        <f t="shared" ref="P7:P14" si="4">IF($N$5="成新度","——",M7-O7)</f>
        <v>——</v>
      </c>
      <c r="Q7" s="732">
        <v>0.2</v>
      </c>
      <c r="R7" s="69">
        <f ca="1">SUMIF('数据-汇总表'!C$19:C$33,A7,'数据-汇总表'!R$19:R$27)</f>
        <v>4042.34</v>
      </c>
      <c r="S7" s="51">
        <f>IF('数据-汇总表'!$I$17="按面积比例",SUMIF('数据-汇总表'!C$19:C$33,A7,'数据-汇总表'!K$19:K$33),SUMIF('数据-汇总表'!C$19:C$33,A7,'数据-汇总表'!N$19:N$33))</f>
        <v>0</v>
      </c>
      <c r="T7" s="1168">
        <f t="shared" ref="T7:T13" si="5">ROUND($L$14*S7/10000,0)</f>
        <v>0</v>
      </c>
      <c r="U7" s="3424">
        <f>X28</f>
        <v>3.73</v>
      </c>
      <c r="V7" s="70">
        <v>0.03</v>
      </c>
      <c r="W7" s="70">
        <v>0.1</v>
      </c>
      <c r="X7" s="1036"/>
      <c r="Y7" s="71">
        <f>Y6</f>
        <v>0.93</v>
      </c>
      <c r="Z7" s="72"/>
      <c r="AA7" s="66"/>
      <c r="AB7" s="66"/>
      <c r="AC7" s="1036"/>
      <c r="AD7" s="73"/>
      <c r="AE7" s="1037">
        <f t="shared" ref="AE7:AE13" ca="1" si="6">IF(AN7="",0,SUMIF(INDIRECT("'"&amp;AN7&amp;"'"&amp;"!E:E"),$AE$5,INDIRECT("'"&amp;AN7&amp;"'"&amp;"!F:F")))</f>
        <v>27.58</v>
      </c>
      <c r="AF7" s="1344"/>
      <c r="AG7" s="137">
        <f t="shared" ref="AG7:AG13" si="7">IF(AF7="",0,AE7-AF7)</f>
        <v>0</v>
      </c>
      <c r="AH7" s="74"/>
      <c r="AI7" s="76">
        <v>365</v>
      </c>
      <c r="AJ7" s="77"/>
      <c r="AK7" s="3949">
        <f>AK6</f>
        <v>7.0000000000000001E-3</v>
      </c>
      <c r="AL7" s="78">
        <f t="shared" ref="AL7:AM7" si="8">AL6</f>
        <v>1E-3</v>
      </c>
      <c r="AM7" s="78">
        <f t="shared" si="8"/>
        <v>0.01</v>
      </c>
      <c r="AN7" s="1711" t="s">
        <v>3422</v>
      </c>
      <c r="AO7" s="52">
        <f t="shared" ref="AO7:AO13" ca="1" si="9">SUMIF(INDIRECT("'"&amp;AN7&amp;"'"&amp;"!A:A"),"总价",INDIRECT("'"&amp;AN7&amp;"'"&amp;"!B:B"))</f>
        <v>60200</v>
      </c>
      <c r="AP7" s="1712">
        <f t="shared" ref="AP7:AP13" si="10">IF(C7="住宅",K7*L7,0)</f>
        <v>0</v>
      </c>
      <c r="AQ7" s="52">
        <f t="shared" ref="AQ7:AQ13" si="11">ROUND($L$14*$N$14*S7/10000,0)</f>
        <v>0</v>
      </c>
      <c r="AR7" s="52">
        <f t="shared" ref="AR7:AR13" si="12">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t="str">
        <f>'数据-汇总表'!C21</f>
        <v>地下车库</v>
      </c>
      <c r="B8" s="1709" t="str">
        <f t="shared" si="1"/>
        <v>经营性</v>
      </c>
      <c r="C8" s="1710" t="s">
        <v>3335</v>
      </c>
      <c r="D8" s="854">
        <f>SUMIF(项目基本情况!C$12:I$12,C8,项目基本情况!C$14:I$14)</f>
        <v>50</v>
      </c>
      <c r="E8" s="853">
        <f>IF(B8="","",SUMIF(项目基本情况!C$12:I$12,C8,项目基本情况!C$13:I$13))</f>
        <v>58809</v>
      </c>
      <c r="F8" s="64">
        <f>SUMIF(项目基本情况!C$12:I$12,C8,项目基本情况!C$15:I$15)</f>
        <v>37.590000000000003</v>
      </c>
      <c r="G8" s="65">
        <f t="shared" si="2"/>
        <v>0.92100000000000004</v>
      </c>
      <c r="H8" s="730">
        <v>0.05</v>
      </c>
      <c r="I8" s="730">
        <v>5.5E-2</v>
      </c>
      <c r="J8" s="66">
        <v>7.0000000000000007E-2</v>
      </c>
      <c r="K8" s="1026">
        <f>SUMIF('数据-汇总表'!C$19:C$33,A8,'数据-汇总表'!E$19:E$33)</f>
        <v>30659.07</v>
      </c>
      <c r="L8" s="3481">
        <v>4500</v>
      </c>
      <c r="M8" s="67">
        <f>ROUND(K8*L8/10000,0)</f>
        <v>13797</v>
      </c>
      <c r="N8" s="729">
        <f>N6</f>
        <v>0.93</v>
      </c>
      <c r="O8" s="67" t="str">
        <f t="shared" si="3"/>
        <v>——</v>
      </c>
      <c r="P8" s="68" t="str">
        <f t="shared" si="4"/>
        <v>——</v>
      </c>
      <c r="Q8" s="732">
        <v>0.1</v>
      </c>
      <c r="R8" s="69">
        <f ca="1">SUMIF('数据-汇总表'!C$19:C$33,A8,'数据-汇总表'!R$19:R$27)</f>
        <v>3874.55</v>
      </c>
      <c r="S8" s="51">
        <f>IF('数据-汇总表'!$I$17="按面积比例",SUMIF('数据-汇总表'!C$19:C$33,A8,'数据-汇总表'!K$19:K$33),SUMIF('数据-汇总表'!C$19:C$33,A8,'数据-汇总表'!N$19:N$33))</f>
        <v>0</v>
      </c>
      <c r="T8" s="1168">
        <f t="shared" si="5"/>
        <v>0</v>
      </c>
      <c r="U8" s="3425">
        <v>1</v>
      </c>
      <c r="V8" s="3948">
        <v>0.02</v>
      </c>
      <c r="W8" s="733">
        <v>0.1</v>
      </c>
      <c r="X8" s="1036"/>
      <c r="Y8" s="71">
        <f>Y6</f>
        <v>0.93</v>
      </c>
      <c r="Z8" s="72"/>
      <c r="AA8" s="66"/>
      <c r="AB8" s="66"/>
      <c r="AC8" s="1036"/>
      <c r="AD8" s="73"/>
      <c r="AE8" s="1037">
        <f t="shared" ca="1" si="6"/>
        <v>37.590000000000003</v>
      </c>
      <c r="AF8" s="1344"/>
      <c r="AG8" s="137">
        <f t="shared" si="7"/>
        <v>0</v>
      </c>
      <c r="AH8" s="734"/>
      <c r="AI8" s="76">
        <v>365</v>
      </c>
      <c r="AJ8" s="77"/>
      <c r="AK8" s="3483">
        <v>5.0000000000000001E-3</v>
      </c>
      <c r="AL8" s="735">
        <f t="shared" ref="AL8:AM8" si="13">AL6</f>
        <v>1E-3</v>
      </c>
      <c r="AM8" s="735">
        <f t="shared" si="13"/>
        <v>0.01</v>
      </c>
      <c r="AN8" s="1711" t="s">
        <v>3426</v>
      </c>
      <c r="AO8" s="52">
        <f t="shared" ca="1" si="9"/>
        <v>15069</v>
      </c>
      <c r="AP8" s="1712">
        <f t="shared" si="10"/>
        <v>0</v>
      </c>
      <c r="AQ8" s="52">
        <f t="shared" si="11"/>
        <v>0</v>
      </c>
      <c r="AR8" s="52">
        <f t="shared" si="12"/>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t="str">
        <f>'数据-汇总表'!C22</f>
        <v>地下商业2</v>
      </c>
      <c r="B9" s="1709" t="str">
        <f t="shared" si="1"/>
        <v>经营性</v>
      </c>
      <c r="C9" s="1710" t="s">
        <v>669</v>
      </c>
      <c r="D9" s="854">
        <f>SUMIF(项目基本情况!C$12:I$12,C9,项目基本情况!C$14:I$14)</f>
        <v>40</v>
      </c>
      <c r="E9" s="853">
        <f>IF(B9="","",SUMIF(项目基本情况!C$12:I$12,C9,项目基本情况!C$13:I$13))</f>
        <v>55156</v>
      </c>
      <c r="F9" s="64">
        <f>SUMIF(项目基本情况!C$12:I$12,C9,项目基本情况!C$15:I$15)</f>
        <v>27.58</v>
      </c>
      <c r="G9" s="65">
        <f t="shared" si="2"/>
        <v>0.874</v>
      </c>
      <c r="H9" s="66">
        <v>5.5E-2</v>
      </c>
      <c r="I9" s="3480">
        <f>I6</f>
        <v>5.5E-2</v>
      </c>
      <c r="J9" s="66">
        <v>7.4999999999999997E-2</v>
      </c>
      <c r="K9" s="1026">
        <f>SUMIF('数据-汇总表'!C$19:C$33,A9,'数据-汇总表'!E$19:E$33)</f>
        <v>16756.23</v>
      </c>
      <c r="L9" s="3481">
        <f>L7</f>
        <v>5000</v>
      </c>
      <c r="M9" s="67">
        <f t="shared" si="0"/>
        <v>8378</v>
      </c>
      <c r="N9" s="729">
        <f>N6</f>
        <v>0.93</v>
      </c>
      <c r="O9" s="67" t="str">
        <f t="shared" si="3"/>
        <v>——</v>
      </c>
      <c r="P9" s="68" t="str">
        <f t="shared" si="4"/>
        <v>——</v>
      </c>
      <c r="Q9" s="81">
        <v>0.2</v>
      </c>
      <c r="R9" s="69">
        <f ca="1">SUMIF('数据-汇总表'!C$19:C$33,A9,'数据-汇总表'!R$19:R$27)</f>
        <v>2117.5700000000002</v>
      </c>
      <c r="S9" s="51">
        <f>IF('数据-汇总表'!$I$17="按面积比例",SUMIF('数据-汇总表'!C$19:C$33,A9,'数据-汇总表'!K$19:K$33),SUMIF('数据-汇总表'!C$19:C$33,A9,'数据-汇总表'!N$19:N$33))</f>
        <v>0</v>
      </c>
      <c r="T9" s="1168">
        <f t="shared" si="5"/>
        <v>0</v>
      </c>
      <c r="U9" s="3424">
        <f>X27</f>
        <v>3.6</v>
      </c>
      <c r="V9" s="70">
        <v>0.03</v>
      </c>
      <c r="W9" s="70">
        <v>0.1</v>
      </c>
      <c r="X9" s="1036"/>
      <c r="Y9" s="71">
        <f>Y6</f>
        <v>0.93</v>
      </c>
      <c r="Z9" s="72"/>
      <c r="AA9" s="66"/>
      <c r="AB9" s="66"/>
      <c r="AC9" s="1036"/>
      <c r="AD9" s="73"/>
      <c r="AE9" s="1037">
        <f t="shared" ca="1" si="6"/>
        <v>27.58</v>
      </c>
      <c r="AF9" s="1344"/>
      <c r="AG9" s="137">
        <f t="shared" si="7"/>
        <v>0</v>
      </c>
      <c r="AH9" s="74"/>
      <c r="AI9" s="76">
        <v>365</v>
      </c>
      <c r="AJ9" s="77"/>
      <c r="AK9" s="3949">
        <f>AK7</f>
        <v>7.0000000000000001E-3</v>
      </c>
      <c r="AL9" s="78">
        <f t="shared" ref="AL9:AM9" si="14">AL6</f>
        <v>1E-3</v>
      </c>
      <c r="AM9" s="78">
        <f t="shared" si="14"/>
        <v>0.01</v>
      </c>
      <c r="AN9" s="1711" t="s">
        <v>3424</v>
      </c>
      <c r="AO9" s="52">
        <f t="shared" ca="1" si="9"/>
        <v>30391</v>
      </c>
      <c r="AP9" s="1712">
        <f t="shared" si="10"/>
        <v>0</v>
      </c>
      <c r="AQ9" s="52">
        <f t="shared" si="11"/>
        <v>0</v>
      </c>
      <c r="AR9" s="52">
        <f t="shared" si="12"/>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7">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7">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7">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7">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1201</v>
      </c>
      <c r="B14" s="1709" t="s">
        <v>1202</v>
      </c>
      <c r="C14" s="1714" t="s">
        <v>1201</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7"/>
      <c r="AH14" s="1037"/>
      <c r="AI14" s="1353"/>
      <c r="AJ14" s="702"/>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1203</v>
      </c>
      <c r="B15" s="1709" t="s">
        <v>1202</v>
      </c>
      <c r="C15" s="1714" t="s">
        <v>1204</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7"/>
      <c r="AH15" s="1037"/>
      <c r="AI15" s="1353"/>
      <c r="AJ15" s="702"/>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1205</v>
      </c>
      <c r="B16" s="88"/>
      <c r="C16" s="829"/>
      <c r="D16" s="1716"/>
      <c r="E16" s="88"/>
      <c r="F16" s="88"/>
      <c r="G16" s="89">
        <f>ROUND(SUMPRODUCT(G6:G13,K6:K13)/SUMPRODUCT((G6:G13&gt;0)*(K6:K13)),3)</f>
        <v>0.88900000000000001</v>
      </c>
      <c r="H16" s="90">
        <f>ROUND(SUMPRODUCT(H6:H13,K6:K13)/SUMPRODUCT((H6:H13&gt;0)*(K6:K13)),3)</f>
        <v>5.2999999999999999E-2</v>
      </c>
      <c r="I16" s="91"/>
      <c r="J16" s="91"/>
      <c r="K16" s="92">
        <f>SUM(K6:K15)</f>
        <v>99232.33</v>
      </c>
      <c r="L16" s="93">
        <f>ROUND(M16*10000/SUM(K6:K14),0)</f>
        <v>4945</v>
      </c>
      <c r="M16" s="93">
        <f>SUM(M6:M14)</f>
        <v>49075</v>
      </c>
      <c r="N16" s="94">
        <f>ROUND(SUMPRODUCT(M6:M14,N6:N14)/M16,3)</f>
        <v>0.93</v>
      </c>
      <c r="O16" s="93">
        <f>SUM(O6:O14)</f>
        <v>0</v>
      </c>
      <c r="P16" s="93">
        <f>SUM(P6:P14)</f>
        <v>0</v>
      </c>
      <c r="Q16" s="95">
        <f>ROUND(SUMPRODUCT(Q6:Q13,K6:K13)/SUMPRODUCT((Q6:Q13&gt;0)*(K6:K13)),2)</f>
        <v>0.17</v>
      </c>
      <c r="R16" s="1030">
        <f ca="1">SUM(R6:R13)</f>
        <v>12540.52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1206</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18" t="s">
        <v>1207</v>
      </c>
      <c r="B19" s="103">
        <v>0</v>
      </c>
      <c r="C19" s="2795" t="s">
        <v>2300</v>
      </c>
      <c r="D19" s="2672"/>
      <c r="E19" s="2669"/>
      <c r="F19" s="2669"/>
      <c r="G19" s="2669"/>
      <c r="H19" s="2669"/>
      <c r="I19" s="2669"/>
      <c r="J19" s="2669"/>
      <c r="K19" s="2668"/>
      <c r="L19" s="2668"/>
      <c r="M19" s="2667"/>
      <c r="N19" s="2667">
        <v>2019</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4">
      <c r="A20" s="1719" t="s">
        <v>1208</v>
      </c>
      <c r="B20" s="104">
        <v>3</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0" t="s">
        <v>1209</v>
      </c>
      <c r="B21" s="104">
        <v>3</v>
      </c>
      <c r="C21" s="2669"/>
      <c r="D21" s="2672"/>
      <c r="E21" s="2669"/>
      <c r="F21" s="2669"/>
      <c r="G21" s="2669"/>
      <c r="H21" s="2669"/>
      <c r="I21" s="2669"/>
      <c r="J21" s="2669"/>
      <c r="K21" s="2668"/>
      <c r="L21" s="2668"/>
      <c r="M21" s="2667"/>
      <c r="N21" s="2667"/>
      <c r="O21" s="2667"/>
      <c r="P21" s="2667"/>
      <c r="Q21" s="2667"/>
      <c r="R21" s="2667"/>
      <c r="S21" s="2667"/>
      <c r="T21" s="3472" t="s">
        <v>3406</v>
      </c>
      <c r="U21" s="2667">
        <v>1</v>
      </c>
      <c r="V21" s="2667">
        <f>Sheet1!D8</f>
        <v>8567.73</v>
      </c>
      <c r="W21" s="2667">
        <v>1</v>
      </c>
      <c r="X21" s="2667">
        <v>9</v>
      </c>
      <c r="Y21" s="2667">
        <f>ROUND(V21/V23,2)</f>
        <v>0.43</v>
      </c>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19" t="s">
        <v>1210</v>
      </c>
      <c r="B22" s="105">
        <f>B19+B20</f>
        <v>3</v>
      </c>
      <c r="C22" s="2669"/>
      <c r="D22" s="2672"/>
      <c r="E22" s="2669"/>
      <c r="F22" s="2669"/>
      <c r="G22" s="2669"/>
      <c r="H22" s="2669"/>
      <c r="I22" s="2669"/>
      <c r="J22" s="2669"/>
      <c r="K22" s="2668"/>
      <c r="L22" s="2668"/>
      <c r="M22" s="2667"/>
      <c r="N22" s="2667"/>
      <c r="O22" s="2667"/>
      <c r="P22" s="2667"/>
      <c r="Q22" s="2667"/>
      <c r="R22" s="2667"/>
      <c r="S22" s="2667"/>
      <c r="T22" s="2667"/>
      <c r="U22" s="2667">
        <v>2</v>
      </c>
      <c r="V22" s="2667">
        <f>Sheet1!D9</f>
        <v>11262.54</v>
      </c>
      <c r="W22" s="3482">
        <v>0.75</v>
      </c>
      <c r="X22" s="2667">
        <f>W22*X21*2/1.6</f>
        <v>8.4375</v>
      </c>
      <c r="Y22" s="2667">
        <f>ROUND(V22/V23,2)</f>
        <v>0.56999999999999995</v>
      </c>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0" t="s">
        <v>1211</v>
      </c>
      <c r="B23" s="105">
        <f>B19+B21</f>
        <v>3</v>
      </c>
      <c r="C23" s="2669"/>
      <c r="D23" s="2672"/>
      <c r="E23" s="2669"/>
      <c r="F23" s="2669"/>
      <c r="G23" s="2669"/>
      <c r="H23" s="2669"/>
      <c r="I23" s="2669"/>
      <c r="J23" s="2669"/>
      <c r="K23" s="2668"/>
      <c r="L23" s="2668"/>
      <c r="M23" s="2667"/>
      <c r="N23" s="2667"/>
      <c r="O23" s="2667"/>
      <c r="P23" s="2667"/>
      <c r="Q23" s="2667"/>
      <c r="R23" s="2667"/>
      <c r="S23" s="2667"/>
      <c r="T23" s="2667"/>
      <c r="U23" s="2667"/>
      <c r="V23" s="2667">
        <f>V21+V22</f>
        <v>19830.27</v>
      </c>
      <c r="W23" s="2667"/>
      <c r="X23" s="2667">
        <f>ROUND(X21*Y21+X22*Y22,2)</f>
        <v>8.68</v>
      </c>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1212</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4.4"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1213</v>
      </c>
      <c r="B26" s="1722" t="s">
        <v>1214</v>
      </c>
      <c r="C26" s="2673" t="s">
        <v>1215</v>
      </c>
      <c r="D26" s="2672"/>
      <c r="E26" s="2669"/>
      <c r="F26" s="2669"/>
      <c r="G26" s="2669"/>
      <c r="H26" s="2669"/>
      <c r="I26" s="2669"/>
      <c r="J26" s="2669"/>
      <c r="K26" s="2668"/>
      <c r="L26" s="2668"/>
      <c r="M26" s="2667"/>
      <c r="N26" s="2667"/>
      <c r="O26" s="2667"/>
      <c r="P26" s="2667"/>
      <c r="Q26" s="2667"/>
      <c r="R26" s="2667"/>
      <c r="S26" s="2667"/>
      <c r="T26" s="2667" t="s">
        <v>3407</v>
      </c>
      <c r="U26" s="2667">
        <v>-1</v>
      </c>
      <c r="V26" s="2667">
        <f>Sheet1!E10</f>
        <v>2297.4300000000003</v>
      </c>
      <c r="W26" s="2667">
        <v>0.6</v>
      </c>
      <c r="X26" s="2667">
        <f>W26*X21</f>
        <v>5.3999999999999995</v>
      </c>
      <c r="Y26" s="2667">
        <f>ROUND(V26/V28,2)</f>
        <v>7.0000000000000007E-2</v>
      </c>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8">
      <c r="A27" s="1723" t="s">
        <v>1216</v>
      </c>
      <c r="B27" s="107">
        <v>160</v>
      </c>
      <c r="C27" s="2797" t="s">
        <v>2302</v>
      </c>
      <c r="D27" s="2675"/>
      <c r="E27" s="2657"/>
      <c r="F27" s="2657"/>
      <c r="G27" s="2669"/>
      <c r="H27" s="2669"/>
      <c r="I27" s="2669"/>
      <c r="J27" s="2669"/>
      <c r="K27" s="2668"/>
      <c r="L27" s="2668"/>
      <c r="M27" s="2667"/>
      <c r="N27" s="2667"/>
      <c r="O27" s="2667"/>
      <c r="P27" s="2667"/>
      <c r="Q27" s="2667"/>
      <c r="R27" s="2667"/>
      <c r="S27" s="2667"/>
      <c r="T27" s="2667"/>
      <c r="U27" s="2667">
        <v>-2</v>
      </c>
      <c r="V27" s="2667">
        <f>Sheet1!E11</f>
        <v>29689.33</v>
      </c>
      <c r="W27" s="3473">
        <v>0.4</v>
      </c>
      <c r="X27" s="3473">
        <f>W27*X21</f>
        <v>3.6</v>
      </c>
      <c r="Y27" s="2667">
        <f>1-Y26</f>
        <v>0.92999999999999994</v>
      </c>
      <c r="Z27" s="2667"/>
      <c r="AA27" s="2667"/>
      <c r="AB27" s="2667"/>
      <c r="AC27" s="2667"/>
      <c r="AD27" s="2667"/>
      <c r="AE27" s="2667"/>
      <c r="AF27" s="2667"/>
      <c r="AG27" s="2667"/>
      <c r="AH27" s="2667"/>
      <c r="AI27" s="2667">
        <f ca="1">系统读取表!B5</f>
        <v>182689</v>
      </c>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8.8">
      <c r="A28" s="1725" t="s">
        <v>1217</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f>V26+V27</f>
        <v>31986.760000000002</v>
      </c>
      <c r="W28" s="2667"/>
      <c r="X28" s="2667">
        <f>ROUND(X26*Y26+X27*Y27,2)</f>
        <v>3.73</v>
      </c>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9.4" thickBot="1">
      <c r="A29" s="1726" t="s">
        <v>1218</v>
      </c>
      <c r="B29" s="112"/>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8.8">
      <c r="A30" s="1727" t="s">
        <v>1219</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8.8">
      <c r="A31" s="1725" t="s">
        <v>1220</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9.4" thickBot="1">
      <c r="A32" s="1728" t="s">
        <v>1221</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4">
      <c r="A33" s="1723" t="s">
        <v>1222</v>
      </c>
      <c r="B33" s="3476">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4">
      <c r="A34" s="1725" t="s">
        <v>1223</v>
      </c>
      <c r="B34" s="113"/>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4">
      <c r="A35" s="1725" t="s">
        <v>1224</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1225</v>
      </c>
      <c r="B36" s="114">
        <v>1.4999999999999999E-2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27" t="s">
        <v>1226</v>
      </c>
      <c r="B37" s="3477">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5" t="s">
        <v>1227</v>
      </c>
      <c r="B38" s="3478">
        <v>0.03</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28" t="s">
        <v>1228</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8.2" thickBot="1">
      <c r="A40" s="2811" t="s">
        <v>3408</v>
      </c>
      <c r="B40" s="1074">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3" t="s">
        <v>1229</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29" t="s">
        <v>1230</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29" t="s">
        <v>1231</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0" t="s">
        <v>1232</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0" t="s">
        <v>1233</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0" t="s">
        <v>1234</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1235</v>
      </c>
      <c r="B47" s="119"/>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2" t="s">
        <v>1236</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1237</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3" t="s">
        <v>1238</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1239</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3" t="s">
        <v>1240</v>
      </c>
      <c r="B52" s="123">
        <f>SUMIF(A54:A63,B53,B54:B63)</f>
        <v>3</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5" t="s">
        <v>1241</v>
      </c>
      <c r="B53" s="1734" t="s">
        <v>303</v>
      </c>
      <c r="C53" s="2657" t="s">
        <v>1242</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5" t="s">
        <v>1243</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5" t="s">
        <v>1244</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5" t="s">
        <v>1245</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5" t="s">
        <v>1246</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5" t="s">
        <v>1247</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5" t="s">
        <v>1248</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5" t="s">
        <v>1249</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5" t="s">
        <v>1250</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5" t="s">
        <v>1251</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1252</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6"/>
      <c r="L69" s="726"/>
    </row>
    <row r="70" spans="1:44" s="789" customFormat="1">
      <c r="A70" s="1737"/>
      <c r="D70" s="1738"/>
      <c r="K70" s="726"/>
      <c r="L70" s="726"/>
    </row>
    <row r="71" spans="1:44" s="789" customFormat="1">
      <c r="A71" s="1737"/>
      <c r="D71" s="1738"/>
      <c r="K71" s="726"/>
      <c r="L71" s="726"/>
    </row>
    <row r="72" spans="1:44" s="789" customFormat="1">
      <c r="A72" s="1737"/>
      <c r="D72" s="1738"/>
      <c r="K72" s="726"/>
      <c r="L72" s="726"/>
    </row>
    <row r="73" spans="1:44" s="789" customFormat="1">
      <c r="A73" s="1737"/>
      <c r="D73" s="1738"/>
      <c r="K73" s="726"/>
      <c r="L73" s="726"/>
    </row>
    <row r="74" spans="1:44" s="789" customFormat="1">
      <c r="A74" s="1737"/>
      <c r="D74" s="1738"/>
      <c r="K74" s="726"/>
      <c r="L74" s="726"/>
    </row>
    <row r="75" spans="1:44" s="789" customFormat="1">
      <c r="A75" s="1737"/>
      <c r="D75" s="1738"/>
      <c r="K75" s="726"/>
      <c r="L75" s="726"/>
    </row>
    <row r="76" spans="1:44" s="789" customFormat="1">
      <c r="A76" s="1737"/>
      <c r="D76" s="1738"/>
      <c r="K76" s="726"/>
      <c r="L76" s="726"/>
    </row>
    <row r="77" spans="1:44" s="789" customFormat="1">
      <c r="A77" s="1737"/>
      <c r="D77" s="1738"/>
      <c r="K77" s="726"/>
      <c r="L77" s="726"/>
    </row>
    <row r="78" spans="1:44" s="789" customFormat="1">
      <c r="A78" s="1737"/>
      <c r="D78" s="1738"/>
      <c r="K78" s="726"/>
      <c r="L78" s="726"/>
    </row>
    <row r="79" spans="1:44" s="789" customFormat="1">
      <c r="A79" s="1737"/>
      <c r="D79" s="1738"/>
      <c r="K79" s="726"/>
      <c r="L79" s="726"/>
    </row>
    <row r="80" spans="1:44" s="789" customFormat="1">
      <c r="A80" s="1737"/>
      <c r="D80" s="1738"/>
      <c r="K80" s="726"/>
      <c r="L80" s="726"/>
    </row>
    <row r="81" spans="1:12" s="789" customFormat="1">
      <c r="A81" s="1737"/>
      <c r="D81" s="1738"/>
      <c r="K81" s="726"/>
      <c r="L81" s="726"/>
    </row>
    <row r="82" spans="1:12" s="789" customFormat="1">
      <c r="A82" s="1737"/>
      <c r="D82" s="1738"/>
      <c r="K82" s="726"/>
      <c r="L82" s="726"/>
    </row>
    <row r="83" spans="1:12" s="789" customFormat="1">
      <c r="A83" s="1737"/>
      <c r="D83" s="1738"/>
      <c r="K83" s="726"/>
      <c r="L83" s="726"/>
    </row>
    <row r="84" spans="1:12" s="789" customFormat="1">
      <c r="A84" s="1737"/>
      <c r="D84" s="1738"/>
      <c r="K84" s="726"/>
      <c r="L84" s="726"/>
    </row>
    <row r="85" spans="1:12" s="789" customFormat="1">
      <c r="A85" s="1737"/>
      <c r="D85" s="1738"/>
      <c r="K85" s="726"/>
      <c r="L85" s="726"/>
    </row>
    <row r="86" spans="1:12" s="789" customFormat="1">
      <c r="A86" s="1737"/>
      <c r="D86" s="1738"/>
      <c r="K86" s="726"/>
      <c r="L86" s="726"/>
    </row>
    <row r="87" spans="1:12" s="789" customFormat="1">
      <c r="A87" s="1737"/>
      <c r="D87" s="1738"/>
      <c r="K87" s="726"/>
      <c r="L87" s="726"/>
    </row>
    <row r="88" spans="1:12" s="789" customFormat="1">
      <c r="A88" s="1737"/>
      <c r="D88" s="1738"/>
      <c r="K88" s="726"/>
      <c r="L88" s="726"/>
    </row>
    <row r="89" spans="1:12" s="789" customFormat="1">
      <c r="A89" s="1737"/>
      <c r="D89" s="1738"/>
      <c r="K89" s="726"/>
      <c r="L89" s="726"/>
    </row>
    <row r="90" spans="1:12" s="789" customFormat="1">
      <c r="A90" s="1737"/>
      <c r="D90" s="1738"/>
      <c r="K90" s="726"/>
      <c r="L90" s="726"/>
    </row>
    <row r="91" spans="1:12" s="789" customFormat="1">
      <c r="A91" s="1737"/>
      <c r="D91" s="1738"/>
      <c r="K91" s="726"/>
      <c r="L91" s="726"/>
    </row>
    <row r="92" spans="1:12" s="789" customFormat="1">
      <c r="A92" s="1737"/>
      <c r="D92" s="1738"/>
      <c r="K92" s="726"/>
      <c r="L92" s="726"/>
    </row>
    <row r="93" spans="1:12" s="789" customFormat="1">
      <c r="A93" s="1737"/>
      <c r="D93" s="1738"/>
      <c r="K93" s="726"/>
      <c r="L93" s="726"/>
    </row>
    <row r="94" spans="1:12" s="789" customFormat="1">
      <c r="A94" s="1737"/>
      <c r="D94" s="1738"/>
      <c r="K94" s="726"/>
      <c r="L94" s="726"/>
    </row>
    <row r="95" spans="1:12" s="789" customFormat="1">
      <c r="A95" s="1737"/>
      <c r="D95" s="1738"/>
      <c r="K95" s="726"/>
      <c r="L95" s="726"/>
    </row>
    <row r="96" spans="1:12" s="789" customFormat="1">
      <c r="A96" s="1737"/>
      <c r="D96" s="1738"/>
      <c r="K96" s="726"/>
      <c r="L96" s="726"/>
    </row>
    <row r="97" spans="1:12" s="789" customFormat="1">
      <c r="A97" s="1737"/>
      <c r="D97" s="1738"/>
      <c r="K97" s="726"/>
      <c r="L97" s="726"/>
    </row>
    <row r="98" spans="1:12" s="789" customFormat="1">
      <c r="A98" s="1737"/>
      <c r="D98" s="1738"/>
      <c r="K98" s="726"/>
      <c r="L98" s="726"/>
    </row>
    <row r="99" spans="1:12" s="789" customFormat="1">
      <c r="A99" s="1737"/>
      <c r="D99" s="1738"/>
      <c r="K99" s="726"/>
      <c r="L99" s="726"/>
    </row>
    <row r="100" spans="1:12" s="789" customFormat="1">
      <c r="A100" s="1737"/>
      <c r="D100" s="1738"/>
      <c r="K100" s="726"/>
      <c r="L100" s="726"/>
    </row>
    <row r="101" spans="1:12" s="789" customFormat="1">
      <c r="A101" s="1737"/>
      <c r="D101" s="1738"/>
      <c r="K101" s="726"/>
      <c r="L101" s="726"/>
    </row>
    <row r="102" spans="1:12" s="789" customFormat="1">
      <c r="A102" s="1737"/>
      <c r="D102" s="1738"/>
      <c r="K102" s="726"/>
      <c r="L102" s="726"/>
    </row>
    <row r="103" spans="1:12" s="789" customFormat="1">
      <c r="A103" s="1737"/>
      <c r="D103" s="1738"/>
      <c r="K103" s="726"/>
      <c r="L103" s="726"/>
    </row>
    <row r="104" spans="1:12" s="789" customFormat="1">
      <c r="A104" s="1737"/>
      <c r="D104" s="1738"/>
      <c r="K104" s="726"/>
      <c r="L104" s="726"/>
    </row>
    <row r="105" spans="1:12" s="789" customFormat="1">
      <c r="A105" s="1737"/>
      <c r="D105" s="1738"/>
      <c r="K105" s="726"/>
      <c r="L105" s="726"/>
    </row>
    <row r="106" spans="1:12" s="789" customFormat="1">
      <c r="A106" s="1737"/>
      <c r="D106" s="1738"/>
      <c r="K106" s="726"/>
      <c r="L106" s="726"/>
    </row>
    <row r="107" spans="1:12" s="789" customFormat="1">
      <c r="A107" s="1737"/>
      <c r="D107" s="1738"/>
      <c r="K107" s="726"/>
      <c r="L107" s="726"/>
    </row>
    <row r="108" spans="1:12" s="789" customFormat="1">
      <c r="A108" s="1737"/>
      <c r="D108" s="1738"/>
      <c r="K108" s="726"/>
      <c r="L108" s="726"/>
    </row>
    <row r="109" spans="1:12" s="789" customFormat="1">
      <c r="A109" s="1737"/>
      <c r="D109" s="1738"/>
      <c r="K109" s="726"/>
      <c r="L109" s="726"/>
    </row>
    <row r="110" spans="1:12" s="789" customFormat="1">
      <c r="A110" s="1737"/>
      <c r="D110" s="1738"/>
      <c r="K110" s="726"/>
      <c r="L110" s="726"/>
    </row>
    <row r="111" spans="1:12" s="789" customFormat="1">
      <c r="A111" s="1737"/>
      <c r="D111" s="1738"/>
      <c r="K111" s="726"/>
      <c r="L111" s="726"/>
    </row>
    <row r="112" spans="1:12" s="789" customFormat="1">
      <c r="A112" s="1737"/>
      <c r="D112" s="1738"/>
      <c r="K112" s="726"/>
      <c r="L112" s="726"/>
    </row>
    <row r="113" spans="1:12" s="789" customFormat="1">
      <c r="A113" s="1737"/>
      <c r="D113" s="1738"/>
      <c r="K113" s="726"/>
      <c r="L113" s="726"/>
    </row>
    <row r="114" spans="1:12" s="789" customFormat="1">
      <c r="A114" s="1737"/>
      <c r="D114" s="1738"/>
      <c r="K114" s="726"/>
      <c r="L114" s="726"/>
    </row>
    <row r="115" spans="1:12" s="789" customFormat="1">
      <c r="A115" s="1737"/>
      <c r="D115" s="1738"/>
      <c r="K115" s="726"/>
      <c r="L115" s="726"/>
    </row>
    <row r="116" spans="1:12" s="789" customFormat="1">
      <c r="A116" s="1737"/>
      <c r="D116" s="1738"/>
      <c r="K116" s="726"/>
      <c r="L116" s="726"/>
    </row>
    <row r="117" spans="1:12" s="789" customFormat="1">
      <c r="A117" s="1737"/>
      <c r="D117" s="1738"/>
      <c r="K117" s="726"/>
      <c r="L117" s="726"/>
    </row>
    <row r="118" spans="1:12" s="789" customFormat="1">
      <c r="A118" s="1737"/>
      <c r="D118" s="1738"/>
      <c r="K118" s="726"/>
      <c r="L118" s="726"/>
    </row>
    <row r="119" spans="1:12" s="789" customFormat="1">
      <c r="A119" s="1737"/>
      <c r="D119" s="1738"/>
      <c r="K119" s="726"/>
      <c r="L119" s="726"/>
    </row>
    <row r="120" spans="1:12" s="789" customFormat="1">
      <c r="A120" s="1737"/>
      <c r="D120" s="1738"/>
      <c r="K120" s="726"/>
      <c r="L120" s="726"/>
    </row>
    <row r="121" spans="1:12" s="789" customFormat="1">
      <c r="A121" s="1737"/>
      <c r="D121" s="1738"/>
      <c r="K121" s="726"/>
      <c r="L121" s="726"/>
    </row>
    <row r="122" spans="1:12" s="789" customFormat="1">
      <c r="A122" s="1737"/>
      <c r="D122" s="1738"/>
      <c r="K122" s="726"/>
      <c r="L122" s="726"/>
    </row>
    <row r="123" spans="1:12" s="789" customFormat="1">
      <c r="A123" s="1737"/>
      <c r="D123" s="1738"/>
      <c r="K123" s="726"/>
      <c r="L123" s="726"/>
    </row>
    <row r="124" spans="1:12" s="789" customFormat="1">
      <c r="A124" s="1737"/>
      <c r="D124" s="1738"/>
      <c r="K124" s="726"/>
      <c r="L124" s="726"/>
    </row>
    <row r="125" spans="1:12" s="789" customFormat="1">
      <c r="A125" s="1737"/>
      <c r="D125" s="1738"/>
      <c r="K125" s="726"/>
      <c r="L125" s="726"/>
    </row>
    <row r="126" spans="1:12" s="789" customFormat="1">
      <c r="A126" s="1737"/>
      <c r="D126" s="1738"/>
      <c r="K126" s="726"/>
      <c r="L126" s="726"/>
    </row>
    <row r="127" spans="1:12" s="789" customFormat="1">
      <c r="A127" s="1737"/>
      <c r="D127" s="1738"/>
      <c r="K127" s="726"/>
      <c r="L127" s="726"/>
    </row>
    <row r="128" spans="1:12" s="789" customFormat="1">
      <c r="A128" s="1737"/>
      <c r="D128" s="1738"/>
      <c r="K128" s="726"/>
      <c r="L128" s="726"/>
    </row>
    <row r="129" spans="1:12" s="789" customFormat="1">
      <c r="A129" s="1737"/>
      <c r="D129" s="1738"/>
      <c r="K129" s="726"/>
      <c r="L129" s="726"/>
    </row>
    <row r="130" spans="1:12" s="789" customFormat="1">
      <c r="A130" s="1737"/>
      <c r="D130" s="1738"/>
      <c r="K130" s="726"/>
      <c r="L130" s="726"/>
    </row>
    <row r="131" spans="1:12" s="789" customFormat="1">
      <c r="A131" s="1737"/>
      <c r="D131" s="1738"/>
      <c r="K131" s="726"/>
      <c r="L131" s="726"/>
    </row>
    <row r="132" spans="1:12" s="789" customFormat="1">
      <c r="A132" s="1737"/>
      <c r="D132" s="1738"/>
      <c r="K132" s="726"/>
      <c r="L132" s="726"/>
    </row>
    <row r="133" spans="1:12" s="789"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B15" sqref="B15"/>
    </sheetView>
  </sheetViews>
  <sheetFormatPr defaultColWidth="9" defaultRowHeight="13.8"/>
  <cols>
    <col min="1" max="1" width="9.44140625" style="1682" customWidth="1"/>
    <col min="2" max="2" width="24.44140625" style="1568" customWidth="1"/>
    <col min="3" max="3" width="24.44140625" style="2506" customWidth="1"/>
    <col min="4" max="4" width="2.6640625" style="2506" customWidth="1"/>
    <col min="5" max="5" width="5.88671875" style="2506" customWidth="1"/>
    <col min="6" max="6" width="27" style="1568"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5"/>
    <col min="30" max="16384" width="9" style="1682"/>
  </cols>
  <sheetData>
    <row r="1" spans="1:29" s="2453" customFormat="1" ht="18" thickBot="1">
      <c r="A1" s="3681" t="s">
        <v>2281</v>
      </c>
      <c r="B1" s="3682"/>
      <c r="C1" s="3682"/>
      <c r="D1" s="3682"/>
      <c r="E1" s="3682"/>
      <c r="F1" s="3682"/>
      <c r="G1" s="368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4.4"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2248</v>
      </c>
      <c r="C3" s="2460" t="s">
        <v>2279</v>
      </c>
      <c r="D3" s="2461"/>
      <c r="E3" s="2438" t="s">
        <v>2278</v>
      </c>
      <c r="F3" s="2462" t="s">
        <v>2249</v>
      </c>
      <c r="G3" s="2463" t="s">
        <v>2280</v>
      </c>
      <c r="H3" s="795"/>
      <c r="I3" s="795"/>
      <c r="J3" s="795"/>
      <c r="K3" s="795"/>
      <c r="L3" s="795"/>
      <c r="M3" s="795"/>
      <c r="N3" s="795"/>
      <c r="O3" s="795"/>
      <c r="P3" s="795"/>
      <c r="Q3" s="795"/>
      <c r="R3" s="795"/>
    </row>
    <row r="4" spans="1:29" ht="37.200000000000003">
      <c r="A4" s="2438"/>
      <c r="B4" s="322" t="s">
        <v>2250</v>
      </c>
      <c r="C4" s="2464" t="s">
        <v>3920</v>
      </c>
      <c r="D4" s="2461"/>
      <c r="E4" s="2465"/>
      <c r="F4" s="1369" t="s">
        <v>2251</v>
      </c>
      <c r="G4" s="2466" t="s">
        <v>2252</v>
      </c>
      <c r="H4" s="795"/>
      <c r="I4" s="795"/>
      <c r="J4" s="795"/>
      <c r="K4" s="795"/>
      <c r="L4" s="795"/>
      <c r="M4" s="795"/>
      <c r="N4" s="795"/>
      <c r="O4" s="795"/>
      <c r="P4" s="795"/>
      <c r="Q4" s="795"/>
      <c r="R4" s="795"/>
    </row>
    <row r="5" spans="1:29" ht="37.200000000000003">
      <c r="A5" s="2438"/>
      <c r="B5" s="322" t="s">
        <v>2253</v>
      </c>
      <c r="C5" s="2464" t="s">
        <v>2254</v>
      </c>
      <c r="D5" s="2461"/>
      <c r="E5" s="2465"/>
      <c r="F5" s="322" t="s">
        <v>2255</v>
      </c>
      <c r="G5" s="2466" t="s">
        <v>2256</v>
      </c>
      <c r="H5" s="795"/>
      <c r="I5" s="795"/>
      <c r="J5" s="795"/>
      <c r="K5" s="795"/>
      <c r="L5" s="795"/>
      <c r="M5" s="795"/>
      <c r="N5" s="795"/>
      <c r="O5" s="795"/>
      <c r="P5" s="795"/>
      <c r="Q5" s="795"/>
      <c r="R5" s="795"/>
    </row>
    <row r="6" spans="1:29" ht="48">
      <c r="A6" s="2438"/>
      <c r="B6" s="322" t="s">
        <v>2257</v>
      </c>
      <c r="C6" s="2466" t="s">
        <v>2252</v>
      </c>
      <c r="D6" s="2461"/>
      <c r="E6" s="2465"/>
      <c r="F6" s="322" t="s">
        <v>2258</v>
      </c>
      <c r="G6" s="2466" t="s">
        <v>2259</v>
      </c>
      <c r="H6" s="795"/>
      <c r="I6" s="795"/>
      <c r="J6" s="795"/>
      <c r="K6" s="795"/>
      <c r="L6" s="795"/>
      <c r="M6" s="795"/>
      <c r="N6" s="795"/>
      <c r="O6" s="795"/>
      <c r="P6" s="795"/>
      <c r="Q6" s="795"/>
      <c r="R6" s="795"/>
    </row>
    <row r="7" spans="1:29" ht="36.6" thickBot="1">
      <c r="A7" s="2438"/>
      <c r="B7" s="322" t="s">
        <v>2255</v>
      </c>
      <c r="C7" s="2466" t="s">
        <v>2256</v>
      </c>
      <c r="D7" s="2467"/>
      <c r="E7" s="2468"/>
      <c r="F7" s="2469" t="s">
        <v>2260</v>
      </c>
      <c r="G7" s="2470" t="s">
        <v>2261</v>
      </c>
      <c r="H7" s="795"/>
      <c r="I7" s="795"/>
      <c r="J7" s="795"/>
      <c r="K7" s="795"/>
      <c r="L7" s="795"/>
      <c r="M7" s="795"/>
      <c r="N7" s="795"/>
      <c r="O7" s="795"/>
      <c r="P7" s="795"/>
      <c r="Q7" s="795"/>
      <c r="R7" s="795"/>
    </row>
    <row r="8" spans="1:29" ht="24">
      <c r="A8" s="2438"/>
      <c r="B8" s="322" t="s">
        <v>2258</v>
      </c>
      <c r="C8" s="2466" t="s">
        <v>2259</v>
      </c>
      <c r="D8" s="2467"/>
      <c r="E8" s="2467"/>
      <c r="F8" s="2471"/>
      <c r="G8" s="2471"/>
      <c r="H8" s="795"/>
      <c r="I8" s="795"/>
      <c r="J8" s="795"/>
      <c r="K8" s="795"/>
      <c r="L8" s="795"/>
      <c r="M8" s="795"/>
      <c r="N8" s="795"/>
      <c r="O8" s="795"/>
      <c r="P8" s="795"/>
      <c r="Q8" s="795"/>
      <c r="R8" s="795"/>
    </row>
    <row r="9" spans="1:29" ht="24">
      <c r="A9" s="2438"/>
      <c r="B9" s="322" t="s">
        <v>2262</v>
      </c>
      <c r="C9" s="2464" t="s">
        <v>2263</v>
      </c>
      <c r="D9" s="2461"/>
      <c r="E9" s="2467"/>
      <c r="F9" s="2471"/>
      <c r="G9" s="2471"/>
      <c r="H9" s="795"/>
      <c r="I9" s="795"/>
      <c r="J9" s="795"/>
      <c r="K9" s="795"/>
      <c r="L9" s="795"/>
      <c r="M9" s="795"/>
      <c r="N9" s="795"/>
      <c r="O9" s="795"/>
      <c r="P9" s="795"/>
      <c r="Q9" s="795"/>
      <c r="R9" s="795"/>
    </row>
    <row r="10" spans="1:29" s="2477" customFormat="1" ht="14.4"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7.399999999999999">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 thickBot="1">
      <c r="A13" s="2486" t="s">
        <v>2282</v>
      </c>
      <c r="B13" s="2480"/>
      <c r="C13" s="2480"/>
      <c r="D13" s="2478"/>
      <c r="E13" s="2480"/>
      <c r="F13" s="2480"/>
      <c r="G13" s="2480"/>
    </row>
    <row r="14" spans="1:29" ht="14.4" thickBot="1">
      <c r="A14" s="2490"/>
      <c r="B14" s="2490"/>
      <c r="C14" s="2491" t="s">
        <v>2265</v>
      </c>
      <c r="D14" s="2461"/>
      <c r="E14" s="2492"/>
      <c r="F14" s="2492"/>
      <c r="G14" s="2456" t="s">
        <v>2266</v>
      </c>
    </row>
    <row r="15" spans="1:29" ht="52.8">
      <c r="A15" s="2440" t="s">
        <v>2267</v>
      </c>
      <c r="B15" s="2493" t="s">
        <v>2248</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9.6">
      <c r="A16" s="2442"/>
      <c r="B16" s="2496" t="s">
        <v>2250</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9.6">
      <c r="A17" s="2442"/>
      <c r="B17" s="2496" t="s">
        <v>2253</v>
      </c>
      <c r="C17" s="2497" t="str">
        <f>C5</f>
        <v>估价对象位于XX商圈，周边办公楼项目较多，入驻率高，办公集聚程度较好</v>
      </c>
      <c r="D17" s="2467"/>
      <c r="E17" s="2443"/>
      <c r="F17" s="2498" t="s">
        <v>2270</v>
      </c>
      <c r="G17" s="2500"/>
    </row>
    <row r="18" spans="1:18" ht="52.8">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6.4">
      <c r="A19" s="2442"/>
      <c r="B19" s="2498" t="s">
        <v>2271</v>
      </c>
      <c r="C19" s="2500"/>
      <c r="D19" s="2461"/>
      <c r="E19" s="2443"/>
      <c r="F19" s="322" t="s">
        <v>2255</v>
      </c>
      <c r="G19" s="2499" t="str">
        <f>G5</f>
        <v>估价对象所在区域公共配套设施齐备情况</v>
      </c>
    </row>
    <row r="20" spans="1:18" ht="26.4">
      <c r="A20" s="2442"/>
      <c r="B20" s="2498" t="s">
        <v>2272</v>
      </c>
      <c r="C20" s="2497" t="str">
        <f>C9</f>
        <v>区域自然环境：；人文环境；综合评价环境状况一般</v>
      </c>
      <c r="D20" s="2467"/>
      <c r="E20" s="2443"/>
      <c r="F20" s="322" t="s">
        <v>2258</v>
      </c>
      <c r="G20" s="2499" t="str">
        <f>G6</f>
        <v>估价对象所在区域基础设施水平</v>
      </c>
    </row>
    <row r="21" spans="1:18" ht="26.4">
      <c r="A21" s="2442"/>
      <c r="B21" s="322" t="s">
        <v>2255</v>
      </c>
      <c r="C21" s="2499" t="str">
        <f>C7</f>
        <v>估价对象所在区域公共配套设施齐备情况</v>
      </c>
      <c r="D21" s="2461"/>
      <c r="E21" s="2443"/>
      <c r="F21" s="2498" t="s">
        <v>2273</v>
      </c>
      <c r="G21" s="2501"/>
    </row>
    <row r="22" spans="1:18" ht="13.5" customHeight="1">
      <c r="A22" s="2442"/>
      <c r="B22" s="322" t="s">
        <v>2258</v>
      </c>
      <c r="C22" s="2499" t="str">
        <f>C8</f>
        <v>估价对象所在区域基础设施水平</v>
      </c>
      <c r="D22" s="2461"/>
      <c r="E22" s="2443"/>
      <c r="F22" s="2498" t="s">
        <v>2264</v>
      </c>
      <c r="G22" s="2500"/>
    </row>
    <row r="23" spans="1:18" s="795" customFormat="1" ht="14.4"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4.4"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38"/>
  <sheetViews>
    <sheetView view="pageBreakPreview" zoomScale="80" zoomScaleNormal="80" zoomScaleSheetLayoutView="80" workbookViewId="0">
      <selection activeCell="M31" sqref="M31"/>
    </sheetView>
  </sheetViews>
  <sheetFormatPr defaultColWidth="9" defaultRowHeight="14.4"/>
  <cols>
    <col min="1" max="1" width="25" style="2509" customWidth="1"/>
    <col min="2" max="9" width="15.77734375" style="2509" customWidth="1"/>
    <col min="10" max="11" width="9" style="2509"/>
    <col min="12" max="12" width="9.44140625" style="2509" bestFit="1" customWidth="1"/>
    <col min="13" max="16384" width="9" style="2509"/>
  </cols>
  <sheetData>
    <row r="1" spans="1:21" ht="16.2">
      <c r="A1" s="2508" t="s">
        <v>661</v>
      </c>
      <c r="B1" s="2508">
        <f>SUM(B14:B23)</f>
        <v>99232.329999999987</v>
      </c>
      <c r="C1" s="2682"/>
      <c r="D1" s="2682"/>
      <c r="E1" s="2682"/>
      <c r="F1" s="2682"/>
      <c r="G1" s="2683"/>
      <c r="H1" s="2684"/>
      <c r="I1" s="2684"/>
      <c r="J1" s="2684"/>
      <c r="K1" s="2684"/>
    </row>
    <row r="2" spans="1:21" ht="16.2">
      <c r="A2" s="2508" t="s">
        <v>649</v>
      </c>
      <c r="B2" s="2508">
        <f>SUM(C14:C23)</f>
        <v>12540.52</v>
      </c>
      <c r="C2" s="2682"/>
      <c r="D2" s="2682"/>
      <c r="E2" s="2682"/>
      <c r="F2" s="2682"/>
      <c r="G2" s="2683"/>
      <c r="H2" s="2684"/>
      <c r="I2" s="2684"/>
      <c r="J2" s="2684"/>
      <c r="K2" s="2684"/>
    </row>
    <row r="3" spans="1:21" ht="15.6">
      <c r="A3" s="2508" t="s">
        <v>658</v>
      </c>
      <c r="B3" s="2510">
        <f>项目基本情况!D3</f>
        <v>45086</v>
      </c>
      <c r="C3" s="2682"/>
      <c r="D3" s="2682"/>
      <c r="E3" s="2682"/>
      <c r="F3" s="2682"/>
      <c r="G3" s="2683"/>
      <c r="H3" s="2684"/>
      <c r="I3" s="2684"/>
      <c r="J3" s="2684"/>
      <c r="K3" s="2684"/>
    </row>
    <row r="4" spans="1:21" ht="31.2">
      <c r="A4" s="2508" t="s">
        <v>657</v>
      </c>
      <c r="B4" s="2508" t="s">
        <v>656</v>
      </c>
      <c r="C4" s="2508" t="s">
        <v>655</v>
      </c>
      <c r="D4" s="2508" t="s">
        <v>654</v>
      </c>
      <c r="E4" s="2682"/>
      <c r="F4" s="2683"/>
      <c r="G4" s="2683"/>
      <c r="H4" s="2684"/>
      <c r="I4" s="2684"/>
      <c r="J4" s="2684"/>
      <c r="K4" s="2684"/>
    </row>
    <row r="5" spans="1:21" ht="15.6">
      <c r="A5" s="2508" t="s">
        <v>653</v>
      </c>
      <c r="B5" s="2508">
        <f ca="1">SUM(D14:D23)</f>
        <v>182689</v>
      </c>
      <c r="C5" s="2508">
        <f ca="1">IF(B5=D14,结果表!H102,ROUND(B5*10000/$B$1,0))</f>
        <v>18410</v>
      </c>
      <c r="D5" s="2508">
        <f ca="1">ROUND(B5*10000/$B$2,0)</f>
        <v>145679</v>
      </c>
      <c r="E5" s="2682"/>
      <c r="F5" s="2683"/>
      <c r="G5" s="2683"/>
      <c r="H5" s="2684"/>
      <c r="I5" s="2684"/>
      <c r="J5" s="2684"/>
      <c r="K5" s="2684"/>
    </row>
    <row r="6" spans="1:21" ht="15.6">
      <c r="A6" s="2508" t="s">
        <v>652</v>
      </c>
      <c r="B6" s="2508">
        <f ca="1">SUM(G14:G23)</f>
        <v>182689</v>
      </c>
      <c r="C6" s="2508">
        <f ca="1">IF(B6=G14,结果表!H108,ROUND(B6*10000/$B$1,0))</f>
        <v>18410</v>
      </c>
      <c r="D6" s="2508">
        <f ca="1">ROUND(B6*10000/$B$2,0)</f>
        <v>145679</v>
      </c>
      <c r="E6" s="2682"/>
      <c r="F6" s="2683"/>
      <c r="G6" s="2683"/>
      <c r="H6" s="2684"/>
      <c r="I6" s="2684"/>
      <c r="J6" s="2684"/>
      <c r="K6" s="2684"/>
    </row>
    <row r="7" spans="1:21" ht="15.6">
      <c r="A7" s="2508" t="s">
        <v>660</v>
      </c>
      <c r="B7" s="2508">
        <f>SUM(H14:H23)</f>
        <v>0</v>
      </c>
      <c r="C7" s="2508" t="str">
        <f>IF(B7=H14,结果表!H110,ROUND(B7*10000/$B$1,0))</f>
        <v>——</v>
      </c>
      <c r="D7" s="2508">
        <f>ROUND(B7*10000/$B$2,0)</f>
        <v>0</v>
      </c>
      <c r="E7" s="2682"/>
      <c r="F7" s="2683"/>
      <c r="G7" s="2683"/>
      <c r="H7" s="2684"/>
      <c r="I7" s="2684"/>
      <c r="J7" s="2684"/>
      <c r="K7" s="2684"/>
    </row>
    <row r="8" spans="1:21" ht="15.6">
      <c r="A8" s="2508" t="s">
        <v>587</v>
      </c>
      <c r="B8" s="2508">
        <f>SUM(I14:I23)</f>
        <v>0</v>
      </c>
      <c r="C8" s="2508" t="str">
        <f>IF(B8=I14,结果表!H112,ROUND(B8*10000/$B$1,0))</f>
        <v>——</v>
      </c>
      <c r="D8" s="2508">
        <f>ROUND(B8*10000/$B$2,0)</f>
        <v>0</v>
      </c>
      <c r="E8" s="2682"/>
      <c r="F8" s="2683"/>
      <c r="G8" s="2683"/>
      <c r="H8" s="2684"/>
      <c r="I8" s="2684"/>
      <c r="J8" s="2684"/>
      <c r="K8" s="2684"/>
    </row>
    <row r="9" spans="1:21" ht="15.6">
      <c r="A9" s="2508" t="s">
        <v>651</v>
      </c>
      <c r="B9" s="2516"/>
      <c r="C9" s="2682"/>
      <c r="D9" s="2682"/>
      <c r="E9" s="2682"/>
      <c r="F9" s="2683"/>
      <c r="G9" s="2683"/>
      <c r="H9" s="2684"/>
      <c r="I9" s="2684"/>
      <c r="J9" s="2684"/>
      <c r="K9" s="2684"/>
    </row>
    <row r="10" spans="1:21" ht="15.6">
      <c r="A10" s="2508" t="s">
        <v>650</v>
      </c>
      <c r="B10" s="2508">
        <f>IF(E10="",0,ROUND(B1*(E10*365/G10)/10000,0))</f>
        <v>0</v>
      </c>
      <c r="C10" s="2508" t="s">
        <v>3357</v>
      </c>
      <c r="D10" s="2508" t="s">
        <v>3358</v>
      </c>
      <c r="E10" s="3437"/>
      <c r="F10" s="3441" t="s">
        <v>3359</v>
      </c>
      <c r="G10" s="3438"/>
      <c r="H10" s="2684"/>
      <c r="I10" s="2684"/>
      <c r="J10" s="2684"/>
      <c r="K10" s="2684"/>
    </row>
    <row r="11" spans="1:21" ht="15.6">
      <c r="A11" s="2508" t="s">
        <v>666</v>
      </c>
      <c r="B11" s="2516"/>
      <c r="C11" s="2682"/>
      <c r="D11" s="2682"/>
      <c r="E11" s="2682"/>
      <c r="F11" s="2683"/>
      <c r="G11" s="2683"/>
      <c r="H11" s="2684"/>
      <c r="I11" s="2684"/>
      <c r="J11" s="2684"/>
      <c r="K11" s="2684"/>
    </row>
    <row r="12" spans="1:21" ht="15.6">
      <c r="A12" s="2682"/>
      <c r="B12" s="2682"/>
      <c r="C12" s="2682"/>
      <c r="D12" s="2682"/>
      <c r="E12" s="2682"/>
      <c r="F12" s="2683"/>
      <c r="G12" s="2683"/>
      <c r="H12" s="2684"/>
      <c r="I12" s="2684"/>
      <c r="J12" s="2684"/>
      <c r="K12" s="2684"/>
    </row>
    <row r="13" spans="1:21" ht="31.8">
      <c r="A13" s="2511" t="s">
        <v>665</v>
      </c>
      <c r="B13" s="2512" t="s">
        <v>662</v>
      </c>
      <c r="C13" s="2512" t="s">
        <v>664</v>
      </c>
      <c r="D13" s="2512" t="s">
        <v>663</v>
      </c>
      <c r="E13" s="2508" t="s">
        <v>655</v>
      </c>
      <c r="F13" s="2508" t="s">
        <v>654</v>
      </c>
      <c r="G13" s="2512" t="s">
        <v>648</v>
      </c>
      <c r="H13" s="2512" t="s">
        <v>659</v>
      </c>
      <c r="I13" s="2512" t="s">
        <v>647</v>
      </c>
      <c r="J13" s="2683" t="s">
        <v>3438</v>
      </c>
      <c r="K13" s="2684" t="s">
        <v>3439</v>
      </c>
      <c r="Q13" s="2509" t="s">
        <v>3921</v>
      </c>
    </row>
    <row r="14" spans="1:21" ht="15.6">
      <c r="A14" s="2513" t="s">
        <v>3440</v>
      </c>
      <c r="B14" s="2514">
        <f>结果表!B118</f>
        <v>19830.27</v>
      </c>
      <c r="C14" s="2514">
        <f>结果表!C118</f>
        <v>2506.06</v>
      </c>
      <c r="D14" s="2514">
        <f ca="1">结果表!H118</f>
        <v>81210</v>
      </c>
      <c r="E14" s="2514">
        <f ca="1">ROUND(D14*10000/B14,0)</f>
        <v>40953</v>
      </c>
      <c r="F14" s="2514">
        <f ca="1">ROUND(D14*10000/C14,0)</f>
        <v>324054</v>
      </c>
      <c r="G14" s="2514">
        <f ca="1">D14</f>
        <v>81210</v>
      </c>
      <c r="H14" s="2514"/>
      <c r="I14" s="2514"/>
      <c r="J14" s="2683">
        <f>[2]系统读取表!$D$14</f>
        <v>86012</v>
      </c>
      <c r="K14" s="2684">
        <f ca="1">D14</f>
        <v>81210</v>
      </c>
      <c r="L14" s="2509">
        <f ca="1">E14</f>
        <v>40953</v>
      </c>
      <c r="N14" s="2509">
        <f ca="1">K14-J14</f>
        <v>-4802</v>
      </c>
      <c r="O14" s="3475">
        <f ca="1">N14/J14</f>
        <v>-5.5829419150816163E-2</v>
      </c>
      <c r="Q14" s="2509">
        <v>80938</v>
      </c>
      <c r="R14" s="2509">
        <f ca="1">K14-Q14</f>
        <v>272</v>
      </c>
      <c r="T14" s="2509">
        <f>[3]系统读取表!$D$14</f>
        <v>80938</v>
      </c>
      <c r="U14" s="2509">
        <f ca="1">G14-T14</f>
        <v>272</v>
      </c>
    </row>
    <row r="15" spans="1:21" ht="15.6">
      <c r="A15" s="2513" t="s">
        <v>3441</v>
      </c>
      <c r="B15" s="2515">
        <f>'结果表-地下商业1'!B118</f>
        <v>31986.760000000002</v>
      </c>
      <c r="C15" s="2515">
        <f>'结果表-地下商业1'!C118</f>
        <v>4042.34</v>
      </c>
      <c r="D15" s="2515">
        <f ca="1">'结果表-地下商业1'!H118</f>
        <v>53578</v>
      </c>
      <c r="E15" s="2514">
        <f t="shared" ref="E15:E23" ca="1" si="0">ROUND(D15*10000/B15,0)</f>
        <v>16750</v>
      </c>
      <c r="F15" s="2514">
        <f t="shared" ref="F15:F23" ca="1" si="1">ROUND(D15*10000/C15,0)</f>
        <v>132542</v>
      </c>
      <c r="G15" s="2514">
        <f t="shared" ref="G15:G17" ca="1" si="2">D15</f>
        <v>53578</v>
      </c>
      <c r="H15" s="1327"/>
      <c r="I15" s="2515"/>
      <c r="J15" s="2683">
        <f>[2]系统读取表!$K$15</f>
        <v>77590</v>
      </c>
      <c r="K15" s="2684">
        <f ca="1">D15+D17</f>
        <v>74380</v>
      </c>
      <c r="L15" s="3474">
        <f ca="1">K15/(B15+B17)*10000</f>
        <v>11873.09674083654</v>
      </c>
      <c r="N15" s="2509">
        <f t="shared" ref="N15:N16" ca="1" si="3">K15-J15</f>
        <v>-3210</v>
      </c>
      <c r="O15" s="3475">
        <f t="shared" ref="O15:O16" ca="1" si="4">N15/J15</f>
        <v>-4.1371310735919577E-2</v>
      </c>
      <c r="Q15" s="2509">
        <v>74337</v>
      </c>
      <c r="R15" s="2509">
        <f t="shared" ref="R15:R16" ca="1" si="5">K15-Q15</f>
        <v>43</v>
      </c>
      <c r="T15" s="2509">
        <f>[3]系统读取表!$D$15</f>
        <v>53522</v>
      </c>
      <c r="U15" s="2509">
        <f t="shared" ref="U15:U17" ca="1" si="6">G15-T15</f>
        <v>56</v>
      </c>
    </row>
    <row r="16" spans="1:21" ht="15.6">
      <c r="A16" s="2513" t="s">
        <v>3442</v>
      </c>
      <c r="B16" s="2515">
        <f>'结果表-地下商业2'!B118</f>
        <v>16756.23</v>
      </c>
      <c r="C16" s="2515">
        <f>'结果表-地下商业2'!C118</f>
        <v>2117.5700000000002</v>
      </c>
      <c r="D16" s="2515">
        <f ca="1">'结果表-地下商业2'!H118</f>
        <v>27099</v>
      </c>
      <c r="E16" s="2514">
        <f t="shared" ca="1" si="0"/>
        <v>16172</v>
      </c>
      <c r="F16" s="2514">
        <f t="shared" ca="1" si="1"/>
        <v>127972</v>
      </c>
      <c r="G16" s="2514">
        <f t="shared" ca="1" si="2"/>
        <v>27099</v>
      </c>
      <c r="H16" s="1327"/>
      <c r="I16" s="2515"/>
      <c r="J16" s="2684">
        <f>[2]系统读取表!$K$17</f>
        <v>27188</v>
      </c>
      <c r="K16" s="2684">
        <f ca="1">D16</f>
        <v>27099</v>
      </c>
      <c r="L16" s="2509">
        <f ca="1">E16</f>
        <v>16172</v>
      </c>
      <c r="N16" s="2509">
        <f t="shared" ca="1" si="3"/>
        <v>-89</v>
      </c>
      <c r="O16" s="3475">
        <f t="shared" ca="1" si="4"/>
        <v>-3.2735030160364869E-3</v>
      </c>
      <c r="Q16" s="2509">
        <v>27026</v>
      </c>
      <c r="R16" s="2509">
        <f t="shared" ca="1" si="5"/>
        <v>73</v>
      </c>
      <c r="T16" s="2509">
        <f>[3]系统读取表!$D$16</f>
        <v>27026</v>
      </c>
      <c r="U16" s="2509">
        <f t="shared" ca="1" si="6"/>
        <v>73</v>
      </c>
    </row>
    <row r="17" spans="1:21" ht="15.6">
      <c r="A17" s="2513" t="s">
        <v>3443</v>
      </c>
      <c r="B17" s="2515">
        <f>'结果表-地下车库'!B118</f>
        <v>30659.07</v>
      </c>
      <c r="C17" s="2515">
        <f>'结果表-地下车库'!C118</f>
        <v>3874.55</v>
      </c>
      <c r="D17" s="2515">
        <f ca="1">'结果表-地下车库'!H118</f>
        <v>20802</v>
      </c>
      <c r="E17" s="2514">
        <f t="shared" ca="1" si="0"/>
        <v>6785</v>
      </c>
      <c r="F17" s="2514">
        <f t="shared" ca="1" si="1"/>
        <v>53689</v>
      </c>
      <c r="G17" s="2514">
        <f t="shared" ca="1" si="2"/>
        <v>20802</v>
      </c>
      <c r="H17" s="1327"/>
      <c r="I17" s="2515"/>
      <c r="J17" s="2684"/>
      <c r="K17" s="2684"/>
      <c r="T17" s="2509">
        <f>[3]系统读取表!$D$17</f>
        <v>20815</v>
      </c>
      <c r="U17" s="2509">
        <f t="shared" ca="1" si="6"/>
        <v>-13</v>
      </c>
    </row>
    <row r="18" spans="1:21" ht="15.6">
      <c r="A18" s="2513" t="s">
        <v>646</v>
      </c>
      <c r="B18" s="2515"/>
      <c r="C18" s="2515"/>
      <c r="D18" s="2515"/>
      <c r="E18" s="2514" t="e">
        <f t="shared" si="0"/>
        <v>#DIV/0!</v>
      </c>
      <c r="F18" s="2514" t="e">
        <f t="shared" si="1"/>
        <v>#DIV/0!</v>
      </c>
      <c r="G18" s="2515"/>
      <c r="H18" s="2515"/>
      <c r="I18" s="2515"/>
      <c r="J18" s="2684"/>
      <c r="K18" s="2684"/>
    </row>
    <row r="19" spans="1:21" ht="15.6">
      <c r="A19" s="2513" t="s">
        <v>645</v>
      </c>
      <c r="B19" s="2515"/>
      <c r="C19" s="2515"/>
      <c r="D19" s="2515"/>
      <c r="E19" s="2514" t="e">
        <f t="shared" si="0"/>
        <v>#DIV/0!</v>
      </c>
      <c r="F19" s="2514" t="e">
        <f t="shared" si="1"/>
        <v>#DIV/0!</v>
      </c>
      <c r="G19" s="2515"/>
      <c r="H19" s="2515"/>
      <c r="I19" s="2515"/>
      <c r="J19" s="2684"/>
      <c r="K19" s="2684"/>
    </row>
    <row r="20" spans="1:21" ht="15.6">
      <c r="A20" s="2513" t="s">
        <v>644</v>
      </c>
      <c r="B20" s="2515"/>
      <c r="C20" s="2515"/>
      <c r="D20" s="2515"/>
      <c r="E20" s="2514" t="e">
        <f t="shared" si="0"/>
        <v>#DIV/0!</v>
      </c>
      <c r="F20" s="2514" t="e">
        <f t="shared" si="1"/>
        <v>#DIV/0!</v>
      </c>
      <c r="G20" s="2515"/>
      <c r="H20" s="2515"/>
      <c r="I20" s="2515"/>
      <c r="J20" s="2684"/>
      <c r="K20" s="2684"/>
    </row>
    <row r="21" spans="1:21" ht="15.6">
      <c r="A21" s="2513" t="s">
        <v>643</v>
      </c>
      <c r="B21" s="2515"/>
      <c r="C21" s="2515"/>
      <c r="D21" s="2515"/>
      <c r="E21" s="2514" t="e">
        <f t="shared" si="0"/>
        <v>#DIV/0!</v>
      </c>
      <c r="F21" s="2514" t="e">
        <f t="shared" si="1"/>
        <v>#DIV/0!</v>
      </c>
      <c r="G21" s="2515"/>
      <c r="H21" s="2515"/>
      <c r="I21" s="2515"/>
      <c r="J21" s="2684"/>
      <c r="K21" s="2684"/>
    </row>
    <row r="22" spans="1:21" ht="15.6">
      <c r="A22" s="2513" t="s">
        <v>642</v>
      </c>
      <c r="B22" s="2515"/>
      <c r="C22" s="2515"/>
      <c r="D22" s="2515"/>
      <c r="E22" s="2514" t="e">
        <f t="shared" si="0"/>
        <v>#DIV/0!</v>
      </c>
      <c r="F22" s="2514" t="e">
        <f t="shared" si="1"/>
        <v>#DIV/0!</v>
      </c>
      <c r="G22" s="2515"/>
      <c r="H22" s="2515"/>
      <c r="I22" s="2515"/>
      <c r="J22" s="2684"/>
      <c r="K22" s="2684"/>
    </row>
    <row r="23" spans="1:21" ht="15.6">
      <c r="A23" s="2513" t="s">
        <v>641</v>
      </c>
      <c r="B23" s="2515"/>
      <c r="C23" s="2515"/>
      <c r="D23" s="2515"/>
      <c r="E23" s="2516" t="e">
        <f t="shared" si="0"/>
        <v>#DIV/0!</v>
      </c>
      <c r="F23" s="2516" t="e">
        <f t="shared" si="1"/>
        <v>#DIV/0!</v>
      </c>
      <c r="G23" s="2515"/>
      <c r="H23" s="2515"/>
      <c r="I23" s="2515"/>
      <c r="J23" s="2684"/>
      <c r="K23" s="2684"/>
    </row>
    <row r="24" spans="1:21">
      <c r="A24" s="2684"/>
      <c r="B24" s="2684"/>
      <c r="C24" s="2684"/>
      <c r="D24" s="2684"/>
      <c r="E24" s="2684"/>
      <c r="F24" s="2684"/>
      <c r="G24" s="2684"/>
      <c r="H24" s="2684"/>
      <c r="I24" s="2684"/>
      <c r="J24" s="2684">
        <f>J14+J15+J16</f>
        <v>190790</v>
      </c>
      <c r="K24" s="2684">
        <f ca="1">K14+K15+K16</f>
        <v>182689</v>
      </c>
    </row>
    <row r="25" spans="1:21">
      <c r="A25" s="2684"/>
      <c r="B25" s="2684"/>
      <c r="C25" s="2684"/>
      <c r="D25" s="2684"/>
      <c r="E25" s="2684"/>
      <c r="F25" s="2684"/>
      <c r="G25" s="2684"/>
      <c r="H25" s="2684"/>
      <c r="I25" s="2684"/>
      <c r="J25" s="2684"/>
      <c r="K25" s="2684"/>
    </row>
    <row r="26" spans="1:21">
      <c r="A26" s="2684"/>
      <c r="B26" s="2684"/>
      <c r="C26" s="2684"/>
      <c r="D26" s="2684"/>
      <c r="E26" s="2684"/>
      <c r="F26" s="2684"/>
      <c r="G26" s="2684"/>
      <c r="H26" s="2684"/>
      <c r="I26" s="2684"/>
      <c r="J26" s="2684"/>
      <c r="K26" s="2684"/>
    </row>
    <row r="36" spans="3:3">
      <c r="C36" s="2509">
        <f ca="1">收益法!C6+'收益法-地下商业1'!C6+'收益法-地下商业2'!C6+'收益法-地下车库'!C6</f>
        <v>12562</v>
      </c>
    </row>
    <row r="37" spans="3:3">
      <c r="C37" s="2509">
        <f>'数据-汇总表'!F19+'数据-汇总表'!G20+'数据-汇总表'!G22</f>
        <v>68573.259999999995</v>
      </c>
    </row>
    <row r="38" spans="3:3">
      <c r="C38" s="2509">
        <f ca="1">C36/C37/365*10000</f>
        <v>5.0189298796884367</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70" zoomScaleNormal="100" zoomScaleSheetLayoutView="70" zoomScalePageLayoutView="80" workbookViewId="0">
      <selection activeCell="B109" sqref="B109"/>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1258</v>
      </c>
      <c r="B1" s="1743"/>
      <c r="C1" s="1744" t="s">
        <v>3397</v>
      </c>
      <c r="D1" s="1743"/>
      <c r="E1" s="1743"/>
      <c r="F1" s="1745" t="s">
        <v>1259</v>
      </c>
      <c r="G1" s="1557"/>
      <c r="H1" s="1746" t="str">
        <f>IF(G1="现房","——","估价对象范围")</f>
        <v>估价对象范围</v>
      </c>
      <c r="I1" s="1747"/>
    </row>
    <row r="2" spans="1:12" ht="21.75" customHeight="1" thickBot="1">
      <c r="A2" s="3750" t="str">
        <f>项目基本情况!S2</f>
        <v>北京市房地产</v>
      </c>
      <c r="B2" s="3751"/>
      <c r="C2" s="3751"/>
      <c r="D2" s="3751"/>
      <c r="E2" s="3751"/>
      <c r="F2" s="3751"/>
      <c r="G2" s="3751"/>
      <c r="H2" s="3751"/>
      <c r="I2" s="3752"/>
    </row>
    <row r="3" spans="1:12" ht="13.2">
      <c r="A3" s="3754" t="s">
        <v>1260</v>
      </c>
      <c r="B3" s="3755"/>
      <c r="C3" s="3755"/>
      <c r="D3" s="3755"/>
      <c r="E3" s="3755"/>
      <c r="F3" s="3755"/>
      <c r="G3" s="3755"/>
      <c r="H3" s="3755"/>
      <c r="I3" s="3755"/>
    </row>
    <row r="4" spans="1:12" ht="14.4">
      <c r="A4" s="1750" t="s">
        <v>1261</v>
      </c>
      <c r="B4" s="1751" t="s">
        <v>1262</v>
      </c>
      <c r="C4" s="1752" t="s">
        <v>3436</v>
      </c>
      <c r="D4" s="1752" t="s">
        <v>3428</v>
      </c>
      <c r="E4" s="3759" t="s">
        <v>1263</v>
      </c>
      <c r="F4" s="3760"/>
      <c r="G4" s="3760"/>
      <c r="H4" s="3760"/>
      <c r="I4" s="3761"/>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3.2">
      <c r="A5" s="3698" t="s">
        <v>1264</v>
      </c>
      <c r="B5" s="3753">
        <v>25</v>
      </c>
      <c r="C5" s="3756"/>
      <c r="D5" s="3744"/>
      <c r="E5" s="130" t="s">
        <v>1265</v>
      </c>
      <c r="F5" s="1753"/>
      <c r="G5" s="1753"/>
      <c r="H5" s="1753"/>
      <c r="I5" s="1369"/>
    </row>
    <row r="6" spans="1:12" ht="13.2">
      <c r="A6" s="3698"/>
      <c r="B6" s="3753"/>
      <c r="C6" s="3758"/>
      <c r="D6" s="3744"/>
      <c r="E6" s="130" t="s">
        <v>1266</v>
      </c>
      <c r="F6" s="1753"/>
      <c r="G6" s="1753"/>
      <c r="H6" s="1753"/>
      <c r="I6" s="1369"/>
    </row>
    <row r="7" spans="1:12" ht="13.2">
      <c r="A7" s="3698"/>
      <c r="B7" s="3753"/>
      <c r="C7" s="3757"/>
      <c r="D7" s="3744"/>
      <c r="E7" s="130" t="s">
        <v>1267</v>
      </c>
      <c r="F7" s="1753"/>
      <c r="G7" s="1753"/>
      <c r="H7" s="1753"/>
      <c r="I7" s="1369"/>
    </row>
    <row r="8" spans="1:12" ht="13.2">
      <c r="A8" s="3698" t="s">
        <v>1268</v>
      </c>
      <c r="B8" s="3753">
        <v>15</v>
      </c>
      <c r="C8" s="3756"/>
      <c r="D8" s="3744"/>
      <c r="E8" s="130" t="s">
        <v>1269</v>
      </c>
      <c r="F8" s="1753"/>
      <c r="G8" s="1753"/>
      <c r="H8" s="1753"/>
      <c r="I8" s="1369"/>
    </row>
    <row r="9" spans="1:12" ht="13.2">
      <c r="A9" s="3698"/>
      <c r="B9" s="3753"/>
      <c r="C9" s="3757"/>
      <c r="D9" s="3744"/>
      <c r="E9" s="130" t="s">
        <v>1270</v>
      </c>
      <c r="F9" s="1753"/>
      <c r="G9" s="1753"/>
      <c r="H9" s="1753"/>
      <c r="I9" s="1369"/>
    </row>
    <row r="10" spans="1:12" ht="13.2">
      <c r="A10" s="3698" t="s">
        <v>1271</v>
      </c>
      <c r="B10" s="3753">
        <v>15</v>
      </c>
      <c r="C10" s="3756"/>
      <c r="D10" s="3744"/>
      <c r="E10" s="130" t="s">
        <v>1272</v>
      </c>
      <c r="F10" s="1753"/>
      <c r="G10" s="1753"/>
      <c r="H10" s="1753"/>
      <c r="I10" s="1369"/>
    </row>
    <row r="11" spans="1:12" ht="13.2">
      <c r="A11" s="3698"/>
      <c r="B11" s="3753"/>
      <c r="C11" s="3757"/>
      <c r="D11" s="3744"/>
      <c r="E11" s="130" t="s">
        <v>1273</v>
      </c>
      <c r="F11" s="1753"/>
      <c r="G11" s="1753"/>
      <c r="H11" s="1753"/>
      <c r="I11" s="1369"/>
    </row>
    <row r="12" spans="1:12" ht="13.2">
      <c r="A12" s="3698" t="s">
        <v>1274</v>
      </c>
      <c r="B12" s="3753">
        <v>15</v>
      </c>
      <c r="C12" s="3756"/>
      <c r="D12" s="3744"/>
      <c r="E12" s="130" t="s">
        <v>1275</v>
      </c>
      <c r="F12" s="1753"/>
      <c r="G12" s="1753"/>
      <c r="H12" s="1753"/>
      <c r="I12" s="1369"/>
    </row>
    <row r="13" spans="1:12" ht="13.2">
      <c r="A13" s="3698"/>
      <c r="B13" s="3753"/>
      <c r="C13" s="3757"/>
      <c r="D13" s="3744"/>
      <c r="E13" s="130" t="s">
        <v>1276</v>
      </c>
      <c r="F13" s="1753"/>
      <c r="G13" s="1753"/>
      <c r="H13" s="1753"/>
      <c r="I13" s="1369"/>
    </row>
    <row r="14" spans="1:12" ht="13.2">
      <c r="A14" s="3698" t="s">
        <v>1277</v>
      </c>
      <c r="B14" s="3753">
        <v>30</v>
      </c>
      <c r="C14" s="3756">
        <v>5</v>
      </c>
      <c r="D14" s="3744">
        <v>5</v>
      </c>
      <c r="E14" s="130" t="s">
        <v>1278</v>
      </c>
      <c r="F14" s="1753"/>
      <c r="G14" s="1753"/>
      <c r="H14" s="1753"/>
      <c r="I14" s="1369"/>
    </row>
    <row r="15" spans="1:12" ht="13.2">
      <c r="A15" s="3698"/>
      <c r="B15" s="3753"/>
      <c r="C15" s="3758"/>
      <c r="D15" s="3744"/>
      <c r="E15" s="130" t="s">
        <v>1279</v>
      </c>
      <c r="F15" s="1753"/>
      <c r="G15" s="1753"/>
      <c r="H15" s="1753"/>
      <c r="I15" s="1369"/>
    </row>
    <row r="16" spans="1:12" ht="13.2">
      <c r="A16" s="3698"/>
      <c r="B16" s="3753"/>
      <c r="C16" s="3757"/>
      <c r="D16" s="3744"/>
      <c r="E16" s="130" t="s">
        <v>1280</v>
      </c>
      <c r="F16" s="1753"/>
      <c r="G16" s="1753"/>
      <c r="H16" s="1753"/>
      <c r="I16" s="1369"/>
    </row>
    <row r="17" spans="1:36" ht="14.4">
      <c r="A17" s="1754" t="s">
        <v>1281</v>
      </c>
      <c r="B17" s="56"/>
      <c r="C17" s="131">
        <f>SUM(C5:C16)</f>
        <v>5</v>
      </c>
      <c r="D17" s="131">
        <f>SUM(D5:D16)</f>
        <v>5</v>
      </c>
      <c r="E17" s="128"/>
      <c r="F17" s="128"/>
      <c r="G17" s="128"/>
      <c r="H17" s="128"/>
      <c r="I17" s="128"/>
      <c r="K17" s="301"/>
      <c r="L17" s="301" t="s">
        <v>1282</v>
      </c>
      <c r="M17" s="301" t="s">
        <v>1283</v>
      </c>
    </row>
    <row r="18" spans="1:36" ht="31.95" customHeight="1" thickBot="1">
      <c r="A18" s="1755" t="s">
        <v>1284</v>
      </c>
      <c r="B18" s="1756"/>
      <c r="C18" s="132">
        <f>ROUND(C17/SUM(C17:D17),2)</f>
        <v>0.5</v>
      </c>
      <c r="D18" s="132">
        <f>1-C18</f>
        <v>0.5</v>
      </c>
      <c r="E18" s="3775" t="s">
        <v>2127</v>
      </c>
      <c r="F18" s="3776"/>
      <c r="G18" s="3776"/>
      <c r="H18" s="3776"/>
      <c r="I18" s="3776"/>
      <c r="K18" s="301" t="s">
        <v>1285</v>
      </c>
      <c r="L18" s="301">
        <f>IF(C1="",'数据-汇总表'!E3,SUMIF(项目类型,C1,'数据-汇总表'!E17:E26)+SUMIF(项目类型,C1,'数据-汇总表'!I17:I26))</f>
        <v>19830.27</v>
      </c>
      <c r="M18" s="301">
        <f>IF(C1="",'数据-汇总表'!E3,SUMIF(项目类型,C1,'数据-汇总表'!E17:E26))</f>
        <v>19830.27</v>
      </c>
    </row>
    <row r="19" spans="1:36" ht="14.4">
      <c r="A19" s="1757" t="s">
        <v>1286</v>
      </c>
      <c r="B19" s="1758" t="s">
        <v>1287</v>
      </c>
      <c r="C19" s="133">
        <f ca="1">SUMIF(INDIRECT("'"&amp;C4&amp;"'"&amp;"!A:A"),结果表!B19,INDIRECT("'"&amp;C4&amp;"'"&amp;"!B:B"))</f>
        <v>73824</v>
      </c>
      <c r="D19" s="134">
        <f ca="1">SUMIF(INDIRECT("'"&amp;D4&amp;"'"&amp;"!A:A"),结果表!B19,INDIRECT("'"&amp;D4&amp;"'"&amp;"!B:B"))</f>
        <v>88595</v>
      </c>
      <c r="E19" s="1757" t="s">
        <v>1288</v>
      </c>
      <c r="F19" s="1758" t="s">
        <v>1287</v>
      </c>
      <c r="G19" s="135">
        <f ca="1">ROUND(C19*$C$18+D19*$D$18,0)</f>
        <v>81210</v>
      </c>
      <c r="H19" s="1759" t="s">
        <v>1289</v>
      </c>
      <c r="I19" s="128"/>
      <c r="K19" s="301" t="s">
        <v>1290</v>
      </c>
      <c r="L19" s="301">
        <f>IF(C1="",'数据-汇总表'!D3,SUMIF(项目类型,C1,'数据-汇总表'!D17:D26)+SUMIF(项目类型,C1,'数据-汇总表'!H17:H27))</f>
        <v>2506.06</v>
      </c>
      <c r="M19" s="301">
        <f>IF(C1="",'数据-汇总表'!D3,SUMIF(项目类型,C1,'数据-汇总表'!D17:D26))</f>
        <v>2506.06</v>
      </c>
    </row>
    <row r="20" spans="1:36" ht="14.4">
      <c r="A20" s="1760"/>
      <c r="B20" s="1022" t="s">
        <v>1291</v>
      </c>
      <c r="C20" s="136">
        <f ca="1">SUMIF(INDIRECT("'"&amp;C4&amp;"'"&amp;"!A:A"),结果表!B20,INDIRECT("'"&amp;C4&amp;"'"&amp;"!B:B"))</f>
        <v>37228</v>
      </c>
      <c r="D20" s="137">
        <f ca="1">SUMIF(INDIRECT("'"&amp;D4&amp;"'"&amp;"!A:A"),结果表!B20,INDIRECT("'"&amp;D4&amp;"'"&amp;"!B:B"))</f>
        <v>44677</v>
      </c>
      <c r="E20" s="1760"/>
      <c r="F20" s="1022" t="s">
        <v>1291</v>
      </c>
      <c r="G20" s="138">
        <f ca="1">ROUND(C20*$C$18+D20*$D$18,0)</f>
        <v>40953</v>
      </c>
      <c r="H20" s="804" t="s">
        <v>1292</v>
      </c>
      <c r="I20" s="128"/>
    </row>
    <row r="21" spans="1:36" ht="15" customHeight="1" thickBot="1">
      <c r="A21" s="824"/>
      <c r="B21" s="1761" t="s">
        <v>1293</v>
      </c>
      <c r="C21" s="717">
        <f ca="1">ROUND(C19*10000/L19,0)</f>
        <v>294582</v>
      </c>
      <c r="D21" s="718">
        <f ca="1">ROUND(D19*10000/L19,0)</f>
        <v>353523</v>
      </c>
      <c r="E21" s="824"/>
      <c r="F21" s="1761" t="s">
        <v>1293</v>
      </c>
      <c r="G21" s="139">
        <f ca="1">ROUND(G19*10000/L19,0)</f>
        <v>324054</v>
      </c>
      <c r="H21" s="1762" t="s">
        <v>1292</v>
      </c>
      <c r="I21" s="128"/>
    </row>
    <row r="22" spans="1:36" ht="15" thickBot="1">
      <c r="A22" s="1684" t="s">
        <v>1294</v>
      </c>
      <c r="B22" s="1763"/>
      <c r="C22" s="1764"/>
      <c r="D22" s="719">
        <f ca="1">IF(C19&lt;D19,D19/C19-1,C19/D19-1)</f>
        <v>0.20008398352839185</v>
      </c>
      <c r="E22" s="128"/>
      <c r="F22" s="128"/>
      <c r="G22" s="128"/>
      <c r="H22" s="128"/>
      <c r="I22" s="128"/>
    </row>
    <row r="23" spans="1:36" ht="13.8" thickBot="1">
      <c r="A23" s="1743"/>
      <c r="B23" s="1743"/>
      <c r="C23" s="1743"/>
      <c r="D23" s="1743"/>
      <c r="E23" s="128"/>
      <c r="F23" s="128"/>
      <c r="G23" s="128"/>
      <c r="H23" s="128"/>
      <c r="I23" s="128"/>
    </row>
    <row r="24" spans="1:36" ht="14.4">
      <c r="A24" s="3768" t="s">
        <v>1295</v>
      </c>
      <c r="B24" s="1758" t="s">
        <v>1287</v>
      </c>
      <c r="C24" s="135">
        <f>IF(B30=0,0,D30)</f>
        <v>0</v>
      </c>
      <c r="D24" s="1765"/>
      <c r="E24" s="128"/>
      <c r="F24" s="128"/>
      <c r="G24" s="128"/>
      <c r="H24" s="128"/>
      <c r="I24" s="128"/>
    </row>
    <row r="25" spans="1:36" ht="14.4">
      <c r="A25" s="3769"/>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3.8">
      <c r="A27" s="1767"/>
      <c r="B27" s="141">
        <v>0</v>
      </c>
      <c r="C27" s="141">
        <v>0</v>
      </c>
      <c r="D27" s="142">
        <f>ROUND(C27*B27/10000,0)</f>
        <v>0</v>
      </c>
      <c r="E27" s="128"/>
      <c r="F27" s="128"/>
      <c r="G27" s="128"/>
      <c r="H27" s="128"/>
      <c r="I27" s="128"/>
    </row>
    <row r="28" spans="1:36" ht="13.8">
      <c r="A28" s="1767"/>
      <c r="B28" s="141"/>
      <c r="C28" s="141"/>
      <c r="D28" s="142"/>
      <c r="E28" s="128"/>
      <c r="F28" s="128"/>
      <c r="G28" s="128"/>
      <c r="H28" s="128"/>
      <c r="I28" s="128"/>
    </row>
    <row r="29" spans="1:36" ht="13.8">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69" t="s">
        <v>1301</v>
      </c>
      <c r="B32" s="1770"/>
      <c r="C32" s="143">
        <f ca="1">IF(D32="总价",G19-C24,G20-C25)</f>
        <v>81210</v>
      </c>
      <c r="D32" s="1771" t="s">
        <v>3437</v>
      </c>
      <c r="E32" s="128"/>
      <c r="F32" s="128"/>
      <c r="G32" s="128"/>
      <c r="H32" s="128"/>
      <c r="I32" s="128"/>
    </row>
    <row r="33" spans="1:15" ht="14.4">
      <c r="A33" s="782" t="s">
        <v>1302</v>
      </c>
      <c r="B33" s="1772"/>
      <c r="C33" s="1773" t="s">
        <v>3444</v>
      </c>
      <c r="D33" s="1774" t="s">
        <v>3436</v>
      </c>
      <c r="E33" s="1775" t="s">
        <v>1303</v>
      </c>
      <c r="F33" s="1776" t="str">
        <f>IF(D32="楼面单价","取值（单价）","取值（总价）")</f>
        <v>取值（总价）</v>
      </c>
      <c r="G33" s="128"/>
      <c r="H33" s="128"/>
      <c r="I33" s="128"/>
    </row>
    <row r="34" spans="1:15" ht="14.4">
      <c r="A34" s="1777"/>
      <c r="B34" s="1778" t="s">
        <v>1304</v>
      </c>
      <c r="C34" s="147">
        <f ca="1">IF(C33="自定义",F34,C32-C35)</f>
        <v>63587</v>
      </c>
      <c r="D34" s="857">
        <f ca="1">IF(C33="自定义",ROUND(C34/C32,3),IF(C33="收益比率",SUMIF(INDIRECT("'"&amp;D33&amp;"'"&amp;"!b:b"),"土地收益比率",INDIRECT("'"&amp;D33&amp;"'"&amp;"!c:c")),SUMIF(INDIRECT("'"&amp;D33&amp;"'"&amp;"!b:b"),"土地成本比率",INDIRECT("'"&amp;D33&amp;"'"&amp;"!c:c"))))</f>
        <v>0.78300000000000003</v>
      </c>
      <c r="E34" s="1779" t="s">
        <v>1305</v>
      </c>
      <c r="F34" s="1326"/>
      <c r="G34" s="128"/>
      <c r="H34" s="128"/>
      <c r="I34" s="128"/>
    </row>
    <row r="35" spans="1:15" ht="15" thickBot="1">
      <c r="A35" s="1780"/>
      <c r="B35" s="1781" t="s">
        <v>1306</v>
      </c>
      <c r="C35" s="1166">
        <f ca="1">IF(C33="自定义",F35,ROUND(C32*D35,0))</f>
        <v>17623</v>
      </c>
      <c r="D35" s="1167">
        <f ca="1">IF(C33="自定义",ROUND(C35/C32,3),IF(C33="收益比率",SUMIF(INDIRECT("'"&amp;D33&amp;"'"&amp;"!b:b"),"建筑物收益比率",INDIRECT("'"&amp;D33&amp;"'"&amp;"!c:c")),SUMIF(INDIRECT("'"&amp;D33&amp;"'"&amp;"!b:b"),"建筑物成本比率",INDIRECT("'"&amp;D33&amp;"'"&amp;"!c:c"))))</f>
        <v>0.217</v>
      </c>
      <c r="E35" s="1782" t="s">
        <v>1307</v>
      </c>
      <c r="F35" s="153"/>
      <c r="G35" s="128"/>
      <c r="H35" s="128"/>
      <c r="I35" s="128"/>
    </row>
    <row r="36" spans="1:15" ht="15" thickBot="1">
      <c r="A36" s="3745" t="s">
        <v>1308</v>
      </c>
      <c r="B36" s="1783" t="s">
        <v>1309</v>
      </c>
      <c r="C36" s="144"/>
      <c r="D36" s="1784"/>
      <c r="E36" s="1785"/>
      <c r="F36" s="1786"/>
      <c r="G36" s="128"/>
      <c r="H36" s="128"/>
      <c r="I36" s="128"/>
    </row>
    <row r="37" spans="1:15" ht="15" thickBot="1">
      <c r="A37" s="3746"/>
      <c r="B37" s="1670" t="s">
        <v>1310</v>
      </c>
      <c r="C37" s="146"/>
      <c r="D37" s="1135"/>
      <c r="E37" s="1135"/>
      <c r="F37" s="1786"/>
      <c r="G37" s="128"/>
      <c r="H37" s="128"/>
      <c r="I37" s="128"/>
    </row>
    <row r="38" spans="1:15" ht="15" thickBot="1">
      <c r="A38" s="3747"/>
      <c r="B38" s="1787" t="s">
        <v>1311</v>
      </c>
      <c r="C38" s="672"/>
      <c r="D38" s="1788" t="s">
        <v>1312</v>
      </c>
      <c r="E38" s="1135"/>
      <c r="F38" s="1786"/>
      <c r="G38" s="128"/>
      <c r="H38" s="128"/>
      <c r="I38" s="128"/>
    </row>
    <row r="39" spans="1:15" ht="14.4">
      <c r="A39" s="1760" t="s">
        <v>1313</v>
      </c>
      <c r="B39" s="1789" t="s">
        <v>1314</v>
      </c>
      <c r="C39" s="1790" t="s">
        <v>1315</v>
      </c>
      <c r="D39" s="1790" t="s">
        <v>1316</v>
      </c>
      <c r="E39" s="1791" t="s">
        <v>1317</v>
      </c>
      <c r="F39" s="1786"/>
      <c r="G39" s="128"/>
      <c r="H39" s="128"/>
      <c r="I39" s="128"/>
    </row>
    <row r="40" spans="1:15" ht="13.8">
      <c r="A40" s="1792" t="s">
        <v>1318</v>
      </c>
      <c r="B40" s="148"/>
      <c r="C40" s="149"/>
      <c r="D40" s="149"/>
      <c r="E40" s="150"/>
      <c r="F40" s="1786"/>
      <c r="G40" s="128"/>
      <c r="H40" s="128"/>
      <c r="I40" s="128"/>
    </row>
    <row r="41" spans="1:15" ht="13.8">
      <c r="A41" s="1792" t="s">
        <v>1319</v>
      </c>
      <c r="B41" s="148"/>
      <c r="C41" s="149"/>
      <c r="D41" s="149"/>
      <c r="E41" s="150"/>
      <c r="F41" s="1786"/>
      <c r="G41" s="128"/>
      <c r="H41" s="128"/>
      <c r="I41" s="128"/>
    </row>
    <row r="42" spans="1:15" ht="14.4" thickBot="1">
      <c r="A42" s="1793"/>
      <c r="B42" s="151"/>
      <c r="C42" s="152"/>
      <c r="D42" s="152"/>
      <c r="E42" s="153"/>
      <c r="F42" s="1786"/>
      <c r="G42" s="128"/>
      <c r="H42" s="128"/>
      <c r="I42" s="128"/>
    </row>
    <row r="43" spans="1:15" ht="13.2">
      <c r="A43" s="1573"/>
      <c r="B43" s="1573"/>
      <c r="C43" s="1573"/>
      <c r="D43" s="1573"/>
      <c r="E43" s="1573"/>
      <c r="F43" s="1794"/>
      <c r="G43" s="1794"/>
      <c r="H43" s="1794"/>
      <c r="I43" s="1795"/>
    </row>
    <row r="44" spans="1:15" ht="17.399999999999999">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65" t="s">
        <v>1322</v>
      </c>
      <c r="B45" s="3766"/>
      <c r="C45" s="3767"/>
      <c r="D45" s="154">
        <f ca="1">ROUND(H101*F45,0)</f>
        <v>81210</v>
      </c>
      <c r="E45" s="155" t="s">
        <v>1323</v>
      </c>
      <c r="F45" s="156">
        <v>1</v>
      </c>
      <c r="G45" s="157" t="s">
        <v>1324</v>
      </c>
      <c r="H45" s="128"/>
      <c r="I45" s="128"/>
      <c r="J45" s="3685" t="s">
        <v>1325</v>
      </c>
      <c r="K45" s="3685"/>
      <c r="L45" s="3685"/>
      <c r="M45" s="3685"/>
      <c r="N45" s="3685"/>
      <c r="O45" s="3685"/>
    </row>
    <row r="46" spans="1:15" ht="14.25" customHeight="1">
      <c r="A46" s="3762" t="s">
        <v>1326</v>
      </c>
      <c r="B46" s="3763"/>
      <c r="C46" s="3763"/>
      <c r="D46" s="3763"/>
      <c r="E46" s="3763"/>
      <c r="F46" s="3763"/>
      <c r="G46" s="3764"/>
      <c r="H46" s="1802"/>
      <c r="I46" s="158"/>
      <c r="J46" s="2519">
        <v>1</v>
      </c>
      <c r="K46" s="3686" t="s">
        <v>1327</v>
      </c>
      <c r="L46" s="3686"/>
      <c r="M46" s="3687"/>
      <c r="N46" s="3687"/>
      <c r="O46" s="3687"/>
    </row>
    <row r="47" spans="1:15" ht="12" customHeight="1">
      <c r="A47" s="159" t="s">
        <v>1328</v>
      </c>
      <c r="B47" s="160"/>
      <c r="C47" s="161"/>
      <c r="D47" s="1083" t="s">
        <v>1329</v>
      </c>
      <c r="E47" s="301" t="s">
        <v>1330</v>
      </c>
      <c r="F47" s="162" t="s">
        <v>1331</v>
      </c>
      <c r="G47" s="2542" t="s">
        <v>1332</v>
      </c>
      <c r="H47" s="2543"/>
      <c r="I47" s="158"/>
      <c r="J47" s="2519">
        <v>2</v>
      </c>
      <c r="K47" s="3686" t="s">
        <v>1333</v>
      </c>
      <c r="L47" s="3686"/>
      <c r="M47" s="3688">
        <f>'数据-取费表'!B2</f>
        <v>45086</v>
      </c>
      <c r="N47" s="3688"/>
      <c r="O47" s="3688"/>
    </row>
    <row r="48" spans="1:15" ht="26.4">
      <c r="A48" s="3748" t="s">
        <v>1334</v>
      </c>
      <c r="B48" s="3749"/>
      <c r="C48" s="3749"/>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1335</v>
      </c>
      <c r="H48" s="2546"/>
      <c r="I48" s="1802"/>
      <c r="J48" s="2519">
        <v>3</v>
      </c>
      <c r="K48" s="3686" t="s">
        <v>1336</v>
      </c>
      <c r="L48" s="3686"/>
      <c r="M48" s="3689">
        <f ca="1">H101</f>
        <v>81210</v>
      </c>
      <c r="N48" s="3689"/>
      <c r="O48" s="3689"/>
    </row>
    <row r="49" spans="1:35" ht="25.5" customHeight="1">
      <c r="A49" s="2329" t="s">
        <v>1337</v>
      </c>
      <c r="B49" s="3734" t="s">
        <v>1338</v>
      </c>
      <c r="C49" s="3734"/>
      <c r="D49" s="1586">
        <v>0</v>
      </c>
      <c r="E49" s="323" t="s">
        <v>1339</v>
      </c>
      <c r="F49" s="2420" t="s">
        <v>28</v>
      </c>
      <c r="G49" s="3717"/>
      <c r="H49" s="2306" t="s">
        <v>2130</v>
      </c>
      <c r="I49" s="2307"/>
      <c r="J49" s="2519">
        <v>4</v>
      </c>
      <c r="K49" s="3686" t="str">
        <f>IF(项目基本情况!E8="房地产抵押价值","房地产抵押价值","抵押担保权已注销时的房地产抵押价值")</f>
        <v>房地产抵押价值</v>
      </c>
      <c r="L49" s="3686"/>
      <c r="M49" s="3689">
        <f ca="1">IF(项目基本情况!E8="房地产抵押价值",H107,H109)</f>
        <v>81210</v>
      </c>
      <c r="N49" s="3689"/>
      <c r="O49" s="3689"/>
    </row>
    <row r="50" spans="1:35" ht="25.5" customHeight="1">
      <c r="A50" s="2547"/>
      <c r="B50" s="3734" t="s">
        <v>1340</v>
      </c>
      <c r="C50" s="3734"/>
      <c r="D50" s="2548"/>
      <c r="E50" s="331"/>
      <c r="F50" s="2420"/>
      <c r="G50" s="3718"/>
      <c r="H50" s="2308" t="s">
        <v>2131</v>
      </c>
      <c r="I50" s="2307"/>
      <c r="J50" s="3685" t="s">
        <v>1341</v>
      </c>
      <c r="K50" s="3685"/>
      <c r="L50" s="3685"/>
      <c r="M50" s="3685"/>
      <c r="N50" s="3685"/>
      <c r="O50" s="3685"/>
    </row>
    <row r="51" spans="1:35" ht="20.399999999999999" customHeight="1">
      <c r="A51" s="2549"/>
      <c r="B51" s="3734" t="s">
        <v>1342</v>
      </c>
      <c r="C51" s="3734"/>
      <c r="D51" s="1083"/>
      <c r="E51" s="326"/>
      <c r="F51" s="2420"/>
      <c r="G51" s="3719"/>
      <c r="H51" s="2308" t="s">
        <v>2132</v>
      </c>
      <c r="I51" s="2307"/>
      <c r="J51" s="2520" t="s">
        <v>1343</v>
      </c>
      <c r="K51" s="3686" t="s">
        <v>1344</v>
      </c>
      <c r="L51" s="3686"/>
      <c r="M51" s="2520" t="s">
        <v>1345</v>
      </c>
      <c r="N51" s="2520" t="s">
        <v>1346</v>
      </c>
      <c r="O51" s="2520" t="s">
        <v>1347</v>
      </c>
    </row>
    <row r="52" spans="1:35" ht="24" customHeight="1">
      <c r="A52" s="2331" t="s">
        <v>1348</v>
      </c>
      <c r="B52" s="3734" t="s">
        <v>1349</v>
      </c>
      <c r="C52" s="3734"/>
      <c r="D52" s="1083">
        <f ca="1">ROUND(D45*'数据-取费表'!B41/(1+'数据-取费表'!C42),0)</f>
        <v>4331</v>
      </c>
      <c r="E52" s="2330" t="s">
        <v>1350</v>
      </c>
      <c r="F52" s="2550">
        <f>'数据-取费表'!B41</f>
        <v>5.6000000000000001E-2</v>
      </c>
      <c r="G52" s="2551"/>
      <c r="H52" s="2540"/>
      <c r="I52" s="1803"/>
      <c r="J52" s="2519">
        <v>1</v>
      </c>
      <c r="K52" s="3711" t="s">
        <v>1351</v>
      </c>
      <c r="L52" s="3711"/>
      <c r="M52" s="2521" t="b">
        <f>D48</f>
        <v>0</v>
      </c>
      <c r="N52" s="2519" t="str">
        <f>E48</f>
        <v>销售额×税（费）率</v>
      </c>
      <c r="O52" s="2522">
        <f>F48</f>
        <v>5.6000000000000001E-2</v>
      </c>
    </row>
    <row r="53" spans="1:35" ht="12" customHeight="1">
      <c r="A53" s="2331" t="s">
        <v>1352</v>
      </c>
      <c r="B53" s="3735" t="s">
        <v>2286</v>
      </c>
      <c r="C53" s="3736"/>
      <c r="D53" s="1083">
        <f ca="1">ROUND(D45*'数据-取费表'!B41/(1+'数据-取费表'!C42),0)</f>
        <v>4331</v>
      </c>
      <c r="E53" s="2330" t="s">
        <v>1350</v>
      </c>
      <c r="F53" s="2550">
        <f>'数据-取费表'!B41</f>
        <v>5.6000000000000001E-2</v>
      </c>
      <c r="G53" s="2551"/>
      <c r="H53" s="2540"/>
      <c r="I53" s="1803"/>
      <c r="J53" s="2519">
        <v>2</v>
      </c>
      <c r="K53" s="3711" t="s">
        <v>1353</v>
      </c>
      <c r="L53" s="3711"/>
      <c r="M53" s="2521">
        <f t="shared" ref="M53:O54" ca="1" si="0">D55</f>
        <v>41</v>
      </c>
      <c r="N53" s="2519" t="str">
        <f t="shared" si="0"/>
        <v>销售额×税（费）率</v>
      </c>
      <c r="O53" s="2522" t="str">
        <f t="shared" si="0"/>
        <v>免征</v>
      </c>
    </row>
    <row r="54" spans="1:35" ht="12" customHeight="1">
      <c r="A54" s="2331" t="s">
        <v>1354</v>
      </c>
      <c r="B54" s="3735" t="s">
        <v>2287</v>
      </c>
      <c r="C54" s="3736"/>
      <c r="D54" s="1083">
        <f ca="1">C68</f>
        <v>4331</v>
      </c>
      <c r="E54" s="326" t="s">
        <v>1355</v>
      </c>
      <c r="F54" s="2550">
        <f>'数据-取费表'!B41</f>
        <v>5.6000000000000001E-2</v>
      </c>
      <c r="G54" s="2551"/>
      <c r="H54" s="2552"/>
      <c r="I54" s="1803"/>
      <c r="J54" s="2519">
        <v>3</v>
      </c>
      <c r="K54" s="3711" t="s">
        <v>1356</v>
      </c>
      <c r="L54" s="3711"/>
      <c r="M54" s="2521">
        <f t="shared" ca="1" si="0"/>
        <v>45965</v>
      </c>
      <c r="N54" s="2519" t="str">
        <f t="shared" si="0"/>
        <v>增值额×税（费）率</v>
      </c>
      <c r="O54" s="2523" t="str">
        <f t="shared" si="0"/>
        <v>免征</v>
      </c>
    </row>
    <row r="55" spans="1:35" ht="24" customHeight="1">
      <c r="A55" s="3771" t="s">
        <v>1357</v>
      </c>
      <c r="B55" s="3749"/>
      <c r="C55" s="3749"/>
      <c r="D55" s="2320">
        <f ca="1">IF(H55="个人住宅",0,ROUND(D45*I55,0))</f>
        <v>41</v>
      </c>
      <c r="E55" s="2330" t="s">
        <v>1358</v>
      </c>
      <c r="F55" s="2550" t="str">
        <f>IF(H55="正常",I55,"免征")</f>
        <v>免征</v>
      </c>
      <c r="G55" s="2551"/>
      <c r="H55" s="2546"/>
      <c r="I55" s="164">
        <f>'数据-取费表'!B49</f>
        <v>5.0000000000000001E-4</v>
      </c>
      <c r="J55" s="2519">
        <f>IF(H59="非个人房产","",4)</f>
        <v>4</v>
      </c>
      <c r="K55" s="3711" t="str">
        <f>IF(H59="非个人房产","——","个人所得税")</f>
        <v>个人所得税</v>
      </c>
      <c r="L55" s="3711"/>
      <c r="M55" s="2524">
        <f ca="1">D59</f>
        <v>773</v>
      </c>
      <c r="N55" s="2036" t="str">
        <f>E59</f>
        <v>差额计税</v>
      </c>
      <c r="O55" s="2525">
        <f>F59</f>
        <v>0.01</v>
      </c>
    </row>
    <row r="56" spans="1:35" ht="25.2">
      <c r="A56" s="3771" t="s">
        <v>1359</v>
      </c>
      <c r="B56" s="3749"/>
      <c r="C56" s="3749"/>
      <c r="D56" s="2320">
        <f ca="1">IF(H56="个人住宅",D57,D58)</f>
        <v>45965</v>
      </c>
      <c r="E56" s="2330" t="s">
        <v>1360</v>
      </c>
      <c r="F56" s="2550" t="str">
        <f>IF(H56="正常",F58,"免征")</f>
        <v>免征</v>
      </c>
      <c r="G56" s="2553" t="s">
        <v>1361</v>
      </c>
      <c r="H56" s="2554"/>
      <c r="I56" s="1804"/>
      <c r="J56" s="2519" t="str">
        <f>IF(项目基本情况!K6="上海银行",IF(J55="",4,J55+1),"")</f>
        <v/>
      </c>
      <c r="K56" s="3692" t="str">
        <f>IF(项目基本情况!K6="上海银行","其他处置费用","")</f>
        <v/>
      </c>
      <c r="L56" s="3693"/>
      <c r="M56" s="2521" t="str">
        <f>IF(项目基本情况!K6="上海银行",M69,"")</f>
        <v/>
      </c>
      <c r="N56" s="3692" t="str">
        <f>IF(项目基本情况!K6="上海银行","包含处置中涉及的律师、诉讼、拍卖、评估等费用","")</f>
        <v/>
      </c>
      <c r="O56" s="3695"/>
    </row>
    <row r="57" spans="1:35" ht="13.2">
      <c r="A57" s="2331" t="s">
        <v>1337</v>
      </c>
      <c r="B57" s="3735" t="s">
        <v>1362</v>
      </c>
      <c r="C57" s="3736"/>
      <c r="D57" s="1586">
        <v>0</v>
      </c>
      <c r="E57" s="323" t="s">
        <v>1339</v>
      </c>
      <c r="F57" s="301"/>
      <c r="G57" s="2551"/>
      <c r="H57" s="2555"/>
      <c r="I57" s="1804"/>
      <c r="J57" s="3711">
        <f>IF(AND(J55="",J56=""),4,IF(项目基本情况!K6="上海银行",结果表!J56+1,结果表!J55+1))</f>
        <v>5</v>
      </c>
      <c r="K57" s="3711" t="s">
        <v>1363</v>
      </c>
      <c r="L57" s="2526" t="s">
        <v>1364</v>
      </c>
      <c r="M57" s="2527"/>
      <c r="N57" s="2528">
        <f ca="1">SUMIF(M52:M56,"&lt;9e307")</f>
        <v>46779</v>
      </c>
      <c r="O57" s="2529"/>
      <c r="P57" s="2686">
        <f ca="1">N57/M49</f>
        <v>0.576025120059106</v>
      </c>
    </row>
    <row r="58" spans="1:35" ht="25.2">
      <c r="A58" s="2331" t="s">
        <v>1348</v>
      </c>
      <c r="B58" s="3735" t="s">
        <v>1365</v>
      </c>
      <c r="C58" s="3734"/>
      <c r="D58" s="2320">
        <f ca="1">IF(H58="转让取得",C81,C97)</f>
        <v>45965</v>
      </c>
      <c r="E58" s="2330" t="s">
        <v>1360</v>
      </c>
      <c r="F58" s="301" t="s">
        <v>28</v>
      </c>
      <c r="G58" s="2551"/>
      <c r="H58" s="2554"/>
      <c r="I58" s="1804"/>
      <c r="J58" s="3711"/>
      <c r="K58" s="3711"/>
      <c r="L58" s="2526" t="s">
        <v>1366</v>
      </c>
      <c r="M58" s="2530"/>
      <c r="N58" s="2531" t="str">
        <f ca="1">NUMBERSTRING(INT(N57*10000),2)&amp;"元整"</f>
        <v>肆亿陆仟柒佰柒拾玖万元整</v>
      </c>
      <c r="O58" s="2532"/>
    </row>
    <row r="59" spans="1:35" ht="24.6" thickBot="1">
      <c r="A59" s="3715" t="s">
        <v>1367</v>
      </c>
      <c r="B59" s="3716"/>
      <c r="C59" s="3716"/>
      <c r="D59" s="2556">
        <f ca="1">IF(H59="非个人房产","——",IF(H59="个人住宅（满五唯一有凭证）",0,IF(H59="个人其他（无凭证）",ROUND(D45*F59,0),ROUND(C67*F59,0))))</f>
        <v>773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13">
        <f>J57+1</f>
        <v>6</v>
      </c>
      <c r="K59" s="3711" t="s">
        <v>1368</v>
      </c>
      <c r="L59" s="2519" t="s">
        <v>1364</v>
      </c>
      <c r="M59" s="2533"/>
      <c r="N59" s="2534">
        <f ca="1">M49-N57</f>
        <v>34431</v>
      </c>
      <c r="O59" s="2535"/>
    </row>
    <row r="60" spans="1:35" ht="12" customHeight="1">
      <c r="A60" s="1805"/>
      <c r="B60" s="1743"/>
      <c r="C60" s="1743"/>
      <c r="D60" s="1743"/>
      <c r="E60" s="1574"/>
      <c r="F60" s="1804"/>
      <c r="G60" s="1804"/>
      <c r="H60" s="1806"/>
      <c r="I60" s="128"/>
      <c r="J60" s="3714"/>
      <c r="K60" s="3711"/>
      <c r="L60" s="2526" t="s">
        <v>1366</v>
      </c>
      <c r="M60" s="2530"/>
      <c r="N60" s="2531" t="str">
        <f ca="1">NUMBERSTRING(INT(N59*10000),2)&amp;"元整"</f>
        <v>叁亿肆仟肆佰叁拾壹万元整</v>
      </c>
      <c r="O60" s="2532"/>
    </row>
    <row r="61" spans="1:35" ht="13.8" thickBot="1">
      <c r="A61" s="3770" t="s">
        <v>1369</v>
      </c>
      <c r="B61" s="3770"/>
      <c r="C61" s="3770"/>
      <c r="D61" s="3770"/>
      <c r="E61" s="3770"/>
      <c r="F61" s="1804"/>
      <c r="G61" s="1804"/>
      <c r="H61" s="1806"/>
      <c r="I61" s="128"/>
      <c r="J61" s="2519">
        <f>J59+1</f>
        <v>7</v>
      </c>
      <c r="K61" s="3711" t="s">
        <v>1370</v>
      </c>
      <c r="L61" s="3711"/>
      <c r="M61" s="2536"/>
      <c r="N61" s="2537">
        <f ca="1">ROUND(N59*10000/'数据-汇总表'!E3,0)</f>
        <v>3470</v>
      </c>
      <c r="O61" s="2538"/>
    </row>
    <row r="62" spans="1:35" ht="13.2">
      <c r="A62" s="3730" t="s">
        <v>1371</v>
      </c>
      <c r="B62" s="3731"/>
      <c r="C62" s="2017"/>
      <c r="D62" s="2017" t="s">
        <v>1372</v>
      </c>
      <c r="E62" s="165" t="s">
        <v>1373</v>
      </c>
      <c r="F62" s="1804"/>
      <c r="G62" s="1804"/>
      <c r="H62" s="1806"/>
      <c r="I62" s="128"/>
    </row>
    <row r="63" spans="1:35" ht="13.2">
      <c r="A63" s="172" t="s">
        <v>330</v>
      </c>
      <c r="B63" s="166" t="s">
        <v>1374</v>
      </c>
      <c r="C63" s="2560">
        <f ca="1">ROUND((C64+C65)/(1+'数据-取费表'!C42),0)</f>
        <v>77343</v>
      </c>
      <c r="D63" s="166"/>
      <c r="E63" s="167"/>
      <c r="F63" s="1804"/>
      <c r="G63" s="1804"/>
      <c r="H63" s="1806"/>
      <c r="I63" s="128"/>
      <c r="J63" s="3694" t="s">
        <v>1375</v>
      </c>
      <c r="K63" s="1328" t="s">
        <v>1376</v>
      </c>
      <c r="L63" s="1328">
        <f ca="1">IF(M49&gt;10000,M49*0.5%,IF(AND(M49&gt;1000,M49&lt;=10000),M49*1%,IF(AND(M49&gt;100,M49&lt;=1000),M49*3%,IF(AND(M49&gt;10,M49&lt;=100),M49*5%,M49*8%))))</f>
        <v>406.05</v>
      </c>
      <c r="M63" s="301">
        <f ca="1">ROUND(L63,1)</f>
        <v>406.1</v>
      </c>
      <c r="N63" s="2539"/>
      <c r="Z63" s="1748"/>
      <c r="AI63" s="1749"/>
    </row>
    <row r="64" spans="1:35" ht="14.25" customHeight="1">
      <c r="A64" s="168" t="s">
        <v>325</v>
      </c>
      <c r="B64" s="169" t="s">
        <v>1377</v>
      </c>
      <c r="C64" s="2561">
        <f ca="1">D45</f>
        <v>81210</v>
      </c>
      <c r="D64" s="169" t="s">
        <v>26</v>
      </c>
      <c r="E64" s="171"/>
      <c r="F64" s="1804"/>
      <c r="G64" s="1804"/>
      <c r="H64" s="1806"/>
      <c r="I64" s="128"/>
      <c r="J64" s="3694"/>
      <c r="K64" s="1328" t="s">
        <v>1378</v>
      </c>
      <c r="L64" s="1328">
        <f ca="1">IF(M49&gt;2000,M49*0.5%,IF(AND(M49&gt;1000,M49&lt;=2000),M49*0.6%,IF(AND(M49&gt;500,M49&lt;=1000),M49*0.7%,IF(AND(M49&gt;200,M49&lt;=500),M49*0.8%,IF(AND(M49&gt;100,M49&lt;=200),M49*0.9%,IF(AND(M49&gt;50,M49&lt;=100),M49*1%,IF(AND(M49&gt;20,M49&lt;=50),M49*1.5%,IF(AND(M49&gt;10,M49&lt;=20),M49*2%,IF(AND(M49&gt;1,M49&lt;=10),M49*2.5%)))))))))</f>
        <v>406.05</v>
      </c>
      <c r="M64" s="301">
        <f t="shared" ref="M64:M65" ca="1" si="1">ROUND(L64,1)</f>
        <v>406.1</v>
      </c>
      <c r="N64" s="2540" t="s">
        <v>1379</v>
      </c>
      <c r="Z64" s="1748"/>
      <c r="AI64" s="1749"/>
    </row>
    <row r="65" spans="1:35" ht="14.25" customHeight="1">
      <c r="A65" s="168" t="s">
        <v>326</v>
      </c>
      <c r="B65" s="169" t="s">
        <v>1380</v>
      </c>
      <c r="C65" s="2562"/>
      <c r="D65" s="169"/>
      <c r="E65" s="171"/>
      <c r="F65" s="1804"/>
      <c r="G65" s="1804"/>
      <c r="H65" s="1806"/>
      <c r="I65" s="128"/>
      <c r="J65" s="3694"/>
      <c r="K65" s="1328" t="s">
        <v>1381</v>
      </c>
      <c r="L65" s="1328">
        <f ca="1">IF(M49&gt;1000,M49*0.1%,IF(AND(M49&gt;500,M49&lt;=1000),M49*0.5%,IF(AND(M49&gt;50,M49&lt;=500),M49*1%,IF(AND(M49&gt;1,M49&lt;=50),M49*1.5%))))</f>
        <v>81.210000000000008</v>
      </c>
      <c r="M65" s="301">
        <f t="shared" ca="1" si="1"/>
        <v>81.2</v>
      </c>
      <c r="N65" s="2540" t="s">
        <v>1379</v>
      </c>
      <c r="Z65" s="1748"/>
      <c r="AI65" s="1749"/>
    </row>
    <row r="66" spans="1:35" ht="14.25" customHeight="1">
      <c r="A66" s="172" t="s">
        <v>327</v>
      </c>
      <c r="B66" s="173" t="s">
        <v>1382</v>
      </c>
      <c r="C66" s="2563"/>
      <c r="D66" s="173" t="s">
        <v>26</v>
      </c>
      <c r="E66" s="1334" t="s">
        <v>667</v>
      </c>
      <c r="F66" s="1804"/>
      <c r="G66" s="1804"/>
      <c r="H66" s="1806"/>
      <c r="I66" s="128"/>
      <c r="J66" s="3694"/>
      <c r="K66" s="1328" t="s">
        <v>1383</v>
      </c>
      <c r="L66" s="1328">
        <f ca="1">M49*0.5%</f>
        <v>406.05</v>
      </c>
      <c r="M66" s="301">
        <f ca="1">IF(L66&gt;0.5,0.5,ROUND(L66,0))</f>
        <v>0.5</v>
      </c>
      <c r="N66" s="2540" t="s">
        <v>1384</v>
      </c>
      <c r="Z66" s="1748"/>
      <c r="AI66" s="1749"/>
    </row>
    <row r="67" spans="1:35" ht="14.25" customHeight="1">
      <c r="A67" s="172" t="s">
        <v>328</v>
      </c>
      <c r="B67" s="173" t="s">
        <v>1385</v>
      </c>
      <c r="C67" s="2564">
        <f ca="1">C63-C66</f>
        <v>77343</v>
      </c>
      <c r="D67" s="169" t="s">
        <v>26</v>
      </c>
      <c r="E67" s="171"/>
      <c r="F67" s="1804"/>
      <c r="G67" s="1804"/>
      <c r="H67" s="1806"/>
      <c r="I67" s="128"/>
      <c r="J67" s="3694"/>
      <c r="K67" s="1328" t="s">
        <v>1386</v>
      </c>
      <c r="L67" s="1328">
        <f ca="1">IF(M49&gt;=10000,(8.25+(M49-10000)*0.01%),IF(AND(M49&gt;=8000,M49&lt;10000),(7.85+(M49-8000)*0.02%),IF(AND(M49&gt;=5000,M49&lt;8000),(6.65+(M49-5000)*0.04%),IF(AND(M49&gt;=2000,M49&lt;5000),(4.25+(PM49-2000)*0.08%),IF(AND(M49&gt;=1000,M49&lt;2000),(2.75+(M49-1000)*0.15%),IF(AND(M49&gt;=100,M49&lt;1000),(0.5+(M49-100)*0.25%),IF(AND(M49&gt;0,M49&lt;100),M49*0.5%)))))))</f>
        <v>15.371</v>
      </c>
      <c r="M67" s="301">
        <f ca="1">ROUND(L67*0.9,1)</f>
        <v>13.8</v>
      </c>
      <c r="N67" s="2539"/>
      <c r="Z67" s="1748"/>
      <c r="AI67" s="1749"/>
    </row>
    <row r="68" spans="1:35" ht="14.25" customHeight="1" thickBot="1">
      <c r="A68" s="175" t="s">
        <v>329</v>
      </c>
      <c r="B68" s="176" t="s">
        <v>1387</v>
      </c>
      <c r="C68" s="2565">
        <f ca="1">IF(C67&lt;=0,0,ROUND(C67*D68,0))</f>
        <v>4331</v>
      </c>
      <c r="D68" s="2566">
        <f>'数据-取费表'!B41</f>
        <v>5.6000000000000001E-2</v>
      </c>
      <c r="E68" s="177"/>
      <c r="F68" s="1804"/>
      <c r="G68" s="1804"/>
      <c r="H68" s="1806"/>
      <c r="I68" s="128"/>
      <c r="J68" s="3694"/>
      <c r="K68" s="1328" t="s">
        <v>1388</v>
      </c>
      <c r="L68" s="1328">
        <f ca="1">IF(M49&gt;10000,M49*0.5%,IF(AND(M49&gt;5000,M49&lt;=10000),M49*1%,IF(AND(M49&gt;1000,M49&lt;=5000),M49*2%,IF(AND(M49&gt;200,M49&lt;=1000),M49*3%,M49*5%))))</f>
        <v>406.05</v>
      </c>
      <c r="M68" s="301">
        <f ca="1">ROUND(L68,1)</f>
        <v>406.1</v>
      </c>
      <c r="N68" s="2539"/>
      <c r="Z68" s="1748"/>
      <c r="AI68" s="1749"/>
    </row>
    <row r="69" spans="1:35" s="1768" customFormat="1" ht="16.5" customHeight="1">
      <c r="A69" s="1807"/>
      <c r="B69" s="1808"/>
      <c r="C69" s="1809"/>
      <c r="D69" s="1810"/>
      <c r="E69" s="1811"/>
      <c r="F69" s="1574"/>
      <c r="G69" s="1574"/>
      <c r="H69" s="1573"/>
      <c r="I69" s="1743"/>
      <c r="J69" s="3694"/>
      <c r="K69" s="1328" t="s">
        <v>1389</v>
      </c>
      <c r="L69" s="1328"/>
      <c r="M69" s="301">
        <f ca="1">ROUND(SUM(M63:M68),0)</f>
        <v>1314</v>
      </c>
      <c r="N69" s="2541">
        <f ca="1">M69/M49</f>
        <v>1.6180273365349093E-2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738" t="s">
        <v>1390</v>
      </c>
      <c r="B70" s="3739"/>
      <c r="C70" s="3739"/>
      <c r="D70" s="3739"/>
      <c r="E70" s="3739"/>
      <c r="F70" s="3739"/>
      <c r="G70" s="3739"/>
      <c r="H70" s="373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730" t="s">
        <v>1371</v>
      </c>
      <c r="B71" s="3731"/>
      <c r="C71" s="2017"/>
      <c r="D71" s="201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2" t="s">
        <v>330</v>
      </c>
      <c r="B72" s="173" t="s">
        <v>1391</v>
      </c>
      <c r="C72" s="2564">
        <f ca="1">ROUND(D45/(1+'数据-取费表'!C42),0)</f>
        <v>77343</v>
      </c>
      <c r="D72" s="169" t="s">
        <v>26</v>
      </c>
      <c r="E72" s="2327"/>
      <c r="F72" s="2326"/>
      <c r="G72" s="2326"/>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2" t="s">
        <v>327</v>
      </c>
      <c r="B73" s="162" t="s">
        <v>1392</v>
      </c>
      <c r="C73" s="2564">
        <f ca="1">C74+C78</f>
        <v>464</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35" t="s">
        <v>1398</v>
      </c>
      <c r="F76" s="3734"/>
      <c r="G76" s="3734"/>
      <c r="H76" s="373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2320" t="s">
        <v>1400</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464</v>
      </c>
      <c r="D78" s="2573">
        <f>'数据-取费表'!B43</f>
        <v>6.000000000000001E-3</v>
      </c>
      <c r="E78" s="3727" t="s">
        <v>1402</v>
      </c>
      <c r="F78" s="3728"/>
      <c r="G78" s="3728"/>
      <c r="H78" s="372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2" t="s">
        <v>334</v>
      </c>
      <c r="B79" s="173" t="s">
        <v>1403</v>
      </c>
      <c r="C79" s="2564">
        <f ca="1">C72-C73</f>
        <v>76879</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165.6875</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5" t="s">
        <v>336</v>
      </c>
      <c r="B81" s="176" t="s">
        <v>1405</v>
      </c>
      <c r="C81" s="2575">
        <f ca="1">ROUND(IF(C79&lt;=0,0,IF(C80&gt;=200%,C79*60%-C73*35%,IF(C80&gt;=100%,C79*50%-C73*15%,IF(C80&gt;=50%,C79*40%-C73*5%,IF(C80&lt;50%,C79*30%,0))))),0)</f>
        <v>45965</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738" t="s">
        <v>1406</v>
      </c>
      <c r="B83" s="3739"/>
      <c r="C83" s="3739"/>
      <c r="D83" s="3739"/>
      <c r="E83" s="3739"/>
      <c r="F83" s="3739"/>
      <c r="G83" s="3739"/>
      <c r="H83" s="373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730" t="s">
        <v>1371</v>
      </c>
      <c r="B84" s="3731"/>
      <c r="C84" s="2017"/>
      <c r="D84" s="201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2" t="s">
        <v>330</v>
      </c>
      <c r="B85" s="173" t="s">
        <v>1391</v>
      </c>
      <c r="C85" s="2564">
        <f ca="1">ROUND(D45/(1+'数据-取费表'!C42),0)</f>
        <v>77343</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2" t="s">
        <v>327</v>
      </c>
      <c r="B86" s="162" t="s">
        <v>1392</v>
      </c>
      <c r="C86" s="2564">
        <f ca="1">IF(H88="仅含出让金",C87+C90+C91+C92+C93+C94,C87+C91+C92+C93+C94)</f>
        <v>464</v>
      </c>
      <c r="D86" s="2577"/>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8" t="s">
        <v>325</v>
      </c>
      <c r="B87" s="169" t="s">
        <v>1407</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8" t="s">
        <v>331</v>
      </c>
      <c r="B88" s="169" t="s">
        <v>1408</v>
      </c>
      <c r="C88" s="2578"/>
      <c r="D88" s="2573"/>
      <c r="E88" s="192" t="s">
        <v>1409</v>
      </c>
      <c r="F88" s="2323"/>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8" t="s">
        <v>332</v>
      </c>
      <c r="B89" s="169" t="s">
        <v>1399</v>
      </c>
      <c r="C89" s="2572">
        <f>ROUND(C88*D89,0)</f>
        <v>0</v>
      </c>
      <c r="D89" s="2573">
        <f>'数据-取费表'!B48+'数据-取费表'!B49</f>
        <v>3.0499999999999999E-2</v>
      </c>
      <c r="E89" s="192" t="s">
        <v>1411</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8" t="s">
        <v>326</v>
      </c>
      <c r="B90" s="169" t="s">
        <v>1412</v>
      </c>
      <c r="C90" s="2578"/>
      <c r="D90" s="2573"/>
      <c r="E90" s="192" t="str">
        <f>IF(H88="-","土地取得成本中已包含该笔费用"," ")</f>
        <v xml:space="preserve"> </v>
      </c>
      <c r="F90" s="2323"/>
      <c r="G90" s="3696" t="s">
        <v>2125</v>
      </c>
      <c r="H90" s="3697"/>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727" t="s">
        <v>1415</v>
      </c>
      <c r="F91" s="3728"/>
      <c r="G91" s="372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727" t="s">
        <v>1418</v>
      </c>
      <c r="F92" s="3728"/>
      <c r="G92" s="3728"/>
      <c r="H92" s="3729"/>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464</v>
      </c>
      <c r="D93" s="2573">
        <f>'数据-取费表'!B43</f>
        <v>6.000000000000001E-3</v>
      </c>
      <c r="E93" s="3727" t="s">
        <v>1402</v>
      </c>
      <c r="F93" s="3728"/>
      <c r="G93" s="3728"/>
      <c r="H93" s="372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72" t="s">
        <v>1422</v>
      </c>
      <c r="F94" s="3773"/>
      <c r="G94" s="3773"/>
      <c r="H94" s="377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2" t="s">
        <v>334</v>
      </c>
      <c r="B95" s="173" t="s">
        <v>1403</v>
      </c>
      <c r="C95" s="2564">
        <f ca="1">ROUND(C85-C86,0)</f>
        <v>76879</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165.6875</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5" t="s">
        <v>336</v>
      </c>
      <c r="B97" s="176" t="s">
        <v>1405</v>
      </c>
      <c r="C97" s="2575">
        <f ca="1">ROUND(IF(C95&lt;=0,0,IF(C96&gt;=200%,C95*60%-C86*35%,IF(C96&gt;=100%,C95*50%-C86*15%,IF(C96&gt;=50%,C95*40%-C86*5%,IF(C96&lt;50%,C95*30%,0))))),0)</f>
        <v>45965</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7" t="s">
        <v>1424</v>
      </c>
      <c r="B100" s="3678"/>
      <c r="C100" s="3678"/>
      <c r="D100" s="3712"/>
      <c r="E100" s="3678" t="s">
        <v>1425</v>
      </c>
      <c r="F100" s="3678"/>
      <c r="G100" s="3678"/>
      <c r="H100" s="3712"/>
      <c r="I100" s="128"/>
    </row>
    <row r="101" spans="1:35" ht="18.75" customHeight="1">
      <c r="A101" s="3720" t="s">
        <v>1426</v>
      </c>
      <c r="B101" s="3721"/>
      <c r="C101" s="2581" t="str">
        <f>C4</f>
        <v>成本法</v>
      </c>
      <c r="D101" s="2582" t="str">
        <f>D4</f>
        <v>收益法</v>
      </c>
      <c r="E101" s="3690" t="s">
        <v>1427</v>
      </c>
      <c r="F101" s="3691"/>
      <c r="G101" s="1823" t="s">
        <v>1428</v>
      </c>
      <c r="H101" s="2591">
        <f ca="1">H118</f>
        <v>81210</v>
      </c>
      <c r="I101" s="128"/>
    </row>
    <row r="102" spans="1:35" ht="18.75" customHeight="1">
      <c r="A102" s="3722" t="s">
        <v>1429</v>
      </c>
      <c r="B102" s="2580" t="s">
        <v>1428</v>
      </c>
      <c r="C102" s="2581">
        <f ca="1">IF(D32="楼面单价",ROUND(C19,0),C19)</f>
        <v>73824</v>
      </c>
      <c r="D102" s="2582">
        <f ca="1">IF(D32="楼面单价",ROUND(D19,0),D19)</f>
        <v>88595</v>
      </c>
      <c r="E102" s="3690"/>
      <c r="F102" s="3691"/>
      <c r="G102" s="1823" t="s">
        <v>1430</v>
      </c>
      <c r="H102" s="2551">
        <f ca="1">I118</f>
        <v>40953</v>
      </c>
      <c r="I102" s="128"/>
    </row>
    <row r="103" spans="1:35" ht="42.75" customHeight="1">
      <c r="A103" s="3722"/>
      <c r="B103" s="2580" t="s">
        <v>1430</v>
      </c>
      <c r="C103" s="2583">
        <f ca="1">C20</f>
        <v>37228</v>
      </c>
      <c r="D103" s="2584">
        <f ca="1">D20</f>
        <v>44677</v>
      </c>
      <c r="E103" s="3683" t="s">
        <v>1431</v>
      </c>
      <c r="F103" s="3684"/>
      <c r="G103" s="1824" t="s">
        <v>1432</v>
      </c>
      <c r="H103" s="2591">
        <f>IF(D36="正常操作",H104+H105+H106,H105+H106)</f>
        <v>0</v>
      </c>
      <c r="I103" s="128"/>
    </row>
    <row r="104" spans="1:35" ht="18.75" customHeight="1">
      <c r="A104" s="3722" t="s">
        <v>1433</v>
      </c>
      <c r="B104" s="2585" t="s">
        <v>1428</v>
      </c>
      <c r="C104" s="2586">
        <f ca="1">H118</f>
        <v>81210</v>
      </c>
      <c r="D104" s="2587"/>
      <c r="E104" s="1670" t="s">
        <v>1434</v>
      </c>
      <c r="F104" s="1662"/>
      <c r="G104" s="1824" t="s">
        <v>1432</v>
      </c>
      <c r="H104" s="2592">
        <f>IF(D36="同一抵押权人同一抵押物续贷",C36&amp;"（续贷，未扣减，详见特别提示）",C36)</f>
        <v>0</v>
      </c>
      <c r="I104" s="128"/>
    </row>
    <row r="105" spans="1:35" ht="18.75" customHeight="1" thickBot="1">
      <c r="A105" s="3732"/>
      <c r="B105" s="2588" t="s">
        <v>1430</v>
      </c>
      <c r="C105" s="2589">
        <f ca="1">I118</f>
        <v>40953</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3" t="str">
        <f>IF(项目基本情况!E8="已注销","——","3.房地产抵押价值")</f>
        <v>3.房地产抵押价值</v>
      </c>
      <c r="F107" s="3691"/>
      <c r="G107" s="1823" t="s">
        <v>1428</v>
      </c>
      <c r="H107" s="2591">
        <f ca="1">IF(E107="——","——",H101-H103)</f>
        <v>81210</v>
      </c>
      <c r="I107" s="128"/>
    </row>
    <row r="108" spans="1:35" ht="18.75" customHeight="1">
      <c r="A108" s="128"/>
      <c r="B108" s="128"/>
      <c r="C108" s="128"/>
      <c r="D108" s="128"/>
      <c r="E108" s="3723"/>
      <c r="F108" s="3691"/>
      <c r="G108" s="1823" t="s">
        <v>1430</v>
      </c>
      <c r="H108" s="2551">
        <f ca="1">IF(H107=H101,H102,ROUND(H107*10000/'数据-汇总表'!E3,0))</f>
        <v>40953</v>
      </c>
      <c r="I108" s="128"/>
    </row>
    <row r="109" spans="1:35" ht="18.75" customHeight="1">
      <c r="A109" s="128"/>
      <c r="B109" s="128"/>
      <c r="C109" s="128"/>
      <c r="D109" s="128"/>
      <c r="E109" s="3723" t="str">
        <f>IF(项目基本情况!E8="已注销及未注销","4.抵押担保权已注销时的房地产抵押价值",IF(项目基本情况!E8="已注销","3.抵押担保权已注销时的房地产抵押价值","——"))</f>
        <v>——</v>
      </c>
      <c r="F109" s="3691"/>
      <c r="G109" s="1823" t="s">
        <v>1428</v>
      </c>
      <c r="H109" s="2594" t="str">
        <f>IF(E109="——","——",H101-H105-H106)</f>
        <v>——</v>
      </c>
      <c r="I109" s="128"/>
    </row>
    <row r="110" spans="1:35" ht="18.75" customHeight="1">
      <c r="A110" s="128"/>
      <c r="B110" s="128"/>
      <c r="C110" s="128"/>
      <c r="D110" s="128"/>
      <c r="E110" s="3723"/>
      <c r="F110" s="3691"/>
      <c r="G110" s="1823" t="s">
        <v>1430</v>
      </c>
      <c r="H110" s="2551" t="str">
        <f>IF(H109="——","——",ROUND(H109*10000/'数据-汇总表'!E3,0))</f>
        <v>——</v>
      </c>
      <c r="I110" s="128"/>
    </row>
    <row r="111" spans="1:35" ht="18.75" customHeight="1">
      <c r="A111" s="128"/>
      <c r="B111" s="128"/>
      <c r="C111" s="128"/>
      <c r="D111" s="128"/>
      <c r="E111" s="3724" t="str">
        <f>IF(项目基本情况!E9="抵押净值",IF(OR(项目基本情况!E8="已注销",项目基本情况!E8="房地产抵押价值"),"4.抵押净值","5.抵押净值"),"——")</f>
        <v>——</v>
      </c>
      <c r="F111" s="3710"/>
      <c r="G111" s="1823" t="s">
        <v>1428</v>
      </c>
      <c r="H111" s="2591" t="str">
        <f>IF(E111="——","——",N59)</f>
        <v>——</v>
      </c>
      <c r="I111" s="128"/>
    </row>
    <row r="112" spans="1:35" ht="18.75" customHeight="1" thickBot="1">
      <c r="A112" s="128"/>
      <c r="B112" s="128"/>
      <c r="C112" s="128"/>
      <c r="D112" s="128"/>
      <c r="E112" s="3725"/>
      <c r="F112" s="3726"/>
      <c r="G112" s="1826" t="s">
        <v>1430</v>
      </c>
      <c r="H112" s="2595" t="str">
        <f>IF(E111="——","——",N61)</f>
        <v>——</v>
      </c>
      <c r="I112" s="128"/>
    </row>
    <row r="113" spans="1:27" ht="18.75" customHeight="1">
      <c r="A113" s="128"/>
      <c r="B113" s="128"/>
      <c r="C113" s="128"/>
      <c r="D113" s="128"/>
      <c r="E113" s="3733" t="s">
        <v>1436</v>
      </c>
      <c r="F113" s="3733"/>
      <c r="G113" s="3733"/>
      <c r="H113" s="3733"/>
      <c r="I113" s="128"/>
    </row>
    <row r="114" spans="1:27" ht="3.75" customHeight="1">
      <c r="A114" s="1743"/>
      <c r="B114" s="1743"/>
      <c r="C114" s="1743"/>
      <c r="D114" s="1743"/>
      <c r="E114" s="1805"/>
      <c r="F114" s="1805"/>
      <c r="G114" s="1805"/>
      <c r="H114" s="1805"/>
      <c r="I114" s="1743"/>
    </row>
    <row r="115" spans="1:27" ht="18.75" customHeight="1">
      <c r="A115" s="3741" t="s">
        <v>1438</v>
      </c>
      <c r="B115" s="3742"/>
      <c r="C115" s="3742"/>
      <c r="D115" s="3742"/>
      <c r="E115" s="3742"/>
      <c r="F115" s="3742"/>
      <c r="G115" s="3742"/>
      <c r="H115" s="3742"/>
      <c r="I115" s="3743"/>
    </row>
    <row r="116" spans="1:27" ht="27" customHeight="1">
      <c r="A116" s="3698" t="s">
        <v>1439</v>
      </c>
      <c r="B116" s="3702" t="s">
        <v>1440</v>
      </c>
      <c r="C116" s="3702" t="s">
        <v>1441</v>
      </c>
      <c r="D116" s="3708" t="s">
        <v>1442</v>
      </c>
      <c r="E116" s="3709"/>
      <c r="F116" s="3740" t="s">
        <v>1443</v>
      </c>
      <c r="G116" s="3740"/>
      <c r="H116" s="3698" t="s">
        <v>1444</v>
      </c>
      <c r="I116" s="3698"/>
    </row>
    <row r="117" spans="1:27" ht="18.75" customHeight="1">
      <c r="A117" s="3698"/>
      <c r="B117" s="3703"/>
      <c r="C117" s="3703"/>
      <c r="D117" s="2325" t="s">
        <v>1445</v>
      </c>
      <c r="E117" s="2325" t="s">
        <v>1446</v>
      </c>
      <c r="F117" s="2325" t="s">
        <v>1445</v>
      </c>
      <c r="G117" s="2325" t="s">
        <v>1447</v>
      </c>
      <c r="H117" s="2325" t="s">
        <v>1445</v>
      </c>
      <c r="I117" s="2325" t="s">
        <v>1447</v>
      </c>
    </row>
    <row r="118" spans="1:27" ht="24.75" customHeight="1">
      <c r="A118" s="2596" t="str">
        <f>项目基本情况!S2</f>
        <v>北京市房地产</v>
      </c>
      <c r="B118" s="2325">
        <f>M18</f>
        <v>19830.27</v>
      </c>
      <c r="C118" s="2325">
        <f>M19</f>
        <v>2506.06</v>
      </c>
      <c r="D118" s="2325">
        <f ca="1">ROUND(IF(D32="总价",C34,E118*B118/10000),0)</f>
        <v>63587</v>
      </c>
      <c r="E118" s="2325">
        <f ca="1">ROUND(IF(C33="自定义",IF(D32="楼面单价",C34,D118*10000/B118),I118-G118),0)</f>
        <v>32066</v>
      </c>
      <c r="F118" s="2325">
        <f ca="1">ROUND(IF(D32="总价",C35,G118*B118/10000),0)</f>
        <v>17623</v>
      </c>
      <c r="G118" s="2325">
        <f ca="1">ROUND(IF(D32="楼面单价",C35,F118*10000/B118),0)</f>
        <v>8887</v>
      </c>
      <c r="H118" s="2325">
        <f ca="1">ROUND(IF(D32="总价",C32,I118*B118/10000),0)</f>
        <v>81210</v>
      </c>
      <c r="I118" s="2325">
        <f ca="1">ROUND(IF(D32="楼面单价",C32,H118*10000/B118),0)</f>
        <v>40953</v>
      </c>
    </row>
    <row r="119" spans="1:27" ht="18.75" customHeight="1">
      <c r="A119" s="3698" t="s">
        <v>1448</v>
      </c>
      <c r="B119" s="3698"/>
      <c r="C119" s="3698"/>
      <c r="D119" s="3704" t="str">
        <f ca="1">NUMBERSTRING(INT(D118*10000),2)&amp;"元整"</f>
        <v>陆亿叁仟伍佰捌拾柒万元整</v>
      </c>
      <c r="E119" s="3705"/>
      <c r="F119" s="3704" t="str">
        <f ca="1">NUMBERSTRING(INT(F118*10000),2)&amp;"元整"</f>
        <v>壹亿柒仟陆佰贰拾叁万元整</v>
      </c>
      <c r="G119" s="3705"/>
      <c r="H119" s="3704" t="str">
        <f ca="1">NUMBERSTRING(INT(H118*10000),2)&amp;"元整"</f>
        <v>捌亿壹仟贰佰壹拾万元整</v>
      </c>
      <c r="I119" s="3705"/>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04" t="s">
        <v>1448</v>
      </c>
      <c r="B121" s="3706"/>
      <c r="C121" s="3705"/>
      <c r="D121" s="3704" t="str">
        <f>IF(D120=0,"零元整",NUMBERSTRING(INT(D120*10000),2)&amp;"元整")</f>
        <v>零元整</v>
      </c>
      <c r="E121" s="3706"/>
      <c r="F121" s="3706"/>
      <c r="G121" s="3706"/>
      <c r="H121" s="3706"/>
      <c r="I121" s="3705"/>
      <c r="AA121" s="723"/>
    </row>
    <row r="122" spans="1:27" ht="18.75" customHeight="1">
      <c r="A122" s="3710" t="str">
        <f>IF(项目基本情况!B9="房地产市场价值","",MID(E107,3,LEN(E107)-2))</f>
        <v>房地产抵押价值</v>
      </c>
      <c r="B122" s="3710"/>
      <c r="C122" s="3710"/>
      <c r="D122" s="3699">
        <f ca="1">H107</f>
        <v>81210</v>
      </c>
      <c r="E122" s="3700"/>
      <c r="F122" s="3700"/>
      <c r="G122" s="3700"/>
      <c r="H122" s="3700"/>
      <c r="I122" s="3701"/>
      <c r="AA122" s="723"/>
    </row>
    <row r="123" spans="1:27" ht="18.75" customHeight="1">
      <c r="A123" s="3698" t="s">
        <v>1448</v>
      </c>
      <c r="B123" s="3698"/>
      <c r="C123" s="3698"/>
      <c r="D123" s="3704" t="str">
        <f ca="1">NUMBERSTRING(INT(D122*10000),2)&amp;"元整"</f>
        <v>捌亿壹仟贰佰壹拾万元整</v>
      </c>
      <c r="E123" s="3706"/>
      <c r="F123" s="3706"/>
      <c r="G123" s="3706"/>
      <c r="H123" s="3706"/>
      <c r="I123" s="3705"/>
      <c r="AA123" s="723"/>
    </row>
    <row r="124" spans="1:27" ht="18.75" customHeight="1">
      <c r="A124" s="3710" t="str">
        <f>IF(项目基本情况!B9="房地产市场价值","",MID(E109,3,LEN(E109)-2))</f>
        <v/>
      </c>
      <c r="B124" s="3710"/>
      <c r="C124" s="3710"/>
      <c r="D124" s="3699" t="str">
        <f>H109</f>
        <v>——</v>
      </c>
      <c r="E124" s="3700"/>
      <c r="F124" s="3700"/>
      <c r="G124" s="3700"/>
      <c r="H124" s="3700"/>
      <c r="I124" s="3701"/>
      <c r="AA124" s="723"/>
    </row>
    <row r="125" spans="1:27" ht="18.75" customHeight="1">
      <c r="A125" s="3698" t="s">
        <v>1448</v>
      </c>
      <c r="B125" s="3698"/>
      <c r="C125" s="3698"/>
      <c r="D125" s="3704" t="e">
        <f>NUMBERSTRING(INT(D124*10000),2)&amp;"元整"</f>
        <v>#VALUE!</v>
      </c>
      <c r="E125" s="3706"/>
      <c r="F125" s="3706"/>
      <c r="G125" s="3706"/>
      <c r="H125" s="3706"/>
      <c r="I125" s="3705"/>
      <c r="AA125" s="723"/>
    </row>
    <row r="126" spans="1:27" ht="18.75" customHeight="1">
      <c r="A126" s="3710" t="str">
        <f>IF(项目基本情况!B9="房地产市场价值","",MID(E111,3,LEN(E111)-2))</f>
        <v/>
      </c>
      <c r="B126" s="3710"/>
      <c r="C126" s="3710"/>
      <c r="D126" s="3699" t="str">
        <f>H111</f>
        <v>——</v>
      </c>
      <c r="E126" s="3700"/>
      <c r="F126" s="3700"/>
      <c r="G126" s="3700"/>
      <c r="H126" s="3700"/>
      <c r="I126" s="3701"/>
      <c r="AA126" s="723"/>
    </row>
    <row r="127" spans="1:27" ht="18.75" customHeight="1">
      <c r="A127" s="3698" t="s">
        <v>1448</v>
      </c>
      <c r="B127" s="3698"/>
      <c r="C127" s="3698"/>
      <c r="D127" s="3704" t="e">
        <f>NUMBERSTRING(INT(D126*10000),2)&amp;"元整"</f>
        <v>#VALUE!</v>
      </c>
      <c r="E127" s="3706"/>
      <c r="F127" s="3706"/>
      <c r="G127" s="3706"/>
      <c r="H127" s="3706"/>
      <c r="I127" s="3705"/>
      <c r="AA127" s="723"/>
    </row>
    <row r="128" spans="1:27" ht="21.75" customHeight="1">
      <c r="A128" s="3707" t="s">
        <v>1449</v>
      </c>
      <c r="B128" s="3707"/>
      <c r="C128" s="3707"/>
      <c r="D128" s="3707"/>
      <c r="E128" s="3707"/>
      <c r="F128" s="3707"/>
      <c r="G128" s="3707"/>
      <c r="H128" s="3707"/>
      <c r="I128" s="3707"/>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90">
    <cfRule type="expression" dxfId="214" priority="3" stopIfTrue="1">
      <formula>$H$88&lt;&gt;"仅含出让金"</formula>
    </cfRule>
  </conditionalFormatting>
  <conditionalFormatting sqref="C91">
    <cfRule type="expression" dxfId="213" priority="2" stopIfTrue="1">
      <formula>$H$91="由企业提供"</formula>
    </cfRule>
  </conditionalFormatting>
  <conditionalFormatting sqref="E36">
    <cfRule type="expression" dxfId="21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9" customWidth="1"/>
    <col min="2" max="9" width="10" style="839" customWidth="1"/>
    <col min="10" max="16384" width="9" style="839"/>
  </cols>
  <sheetData>
    <row r="36" spans="1:9">
      <c r="A36" s="838" t="s">
        <v>371</v>
      </c>
      <c r="B36" s="838" t="s">
        <v>372</v>
      </c>
    </row>
    <row r="37" spans="1:9" ht="27.75" customHeight="1">
      <c r="A37" s="838"/>
      <c r="B37" s="3594" t="str">
        <f>项目基本情况!B1</f>
        <v>北京市房地产抵押价值预评估</v>
      </c>
      <c r="C37" s="3594"/>
      <c r="D37" s="3594"/>
      <c r="E37" s="3594"/>
      <c r="F37" s="3594"/>
      <c r="G37" s="3594"/>
      <c r="H37" s="3594"/>
      <c r="I37" s="3594"/>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A43" sqref="A43"/>
    </sheetView>
  </sheetViews>
  <sheetFormatPr defaultColWidth="12" defaultRowHeight="13.2"/>
  <cols>
    <col min="1" max="1" width="9.77734375" style="2049" customWidth="1"/>
    <col min="2" max="2" width="22.44140625" style="2140" customWidth="1"/>
    <col min="3" max="3" width="12" style="1994"/>
    <col min="4" max="4" width="14.88671875" style="1994" customWidth="1"/>
    <col min="5" max="5" width="14.6640625" style="1994" customWidth="1"/>
    <col min="6" max="8" width="12" style="1994"/>
    <col min="9" max="9" width="12.21875" style="1994" bestFit="1" customWidth="1"/>
    <col min="10" max="10" width="12" style="1994"/>
    <col min="11" max="11" width="8.109375" style="2045" customWidth="1"/>
    <col min="12" max="12" width="19.44140625" style="1994" customWidth="1"/>
    <col min="13" max="13" width="8.44140625" style="1994" customWidth="1"/>
    <col min="14" max="14" width="9.77734375" style="1994" customWidth="1"/>
    <col min="15" max="25" width="12" style="1994"/>
    <col min="26" max="26" width="9.33203125" style="2049" customWidth="1"/>
    <col min="27" max="32" width="9.33203125" style="1117" customWidth="1"/>
    <col min="33" max="36" width="9.33203125" style="2049" customWidth="1"/>
    <col min="37" max="38" width="9.33203125" style="1994" customWidth="1"/>
    <col min="39" max="16384" width="12" style="1994"/>
  </cols>
  <sheetData>
    <row r="1" spans="1:36" ht="31.2">
      <c r="A1" s="195" t="s">
        <v>1922</v>
      </c>
      <c r="B1" s="196"/>
      <c r="C1" s="200" t="s">
        <v>1923</v>
      </c>
      <c r="D1" s="341">
        <f>SUM(D33:D34,D37:D42)</f>
        <v>62645.83</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6">
      <c r="A2" s="200" t="s">
        <v>1930</v>
      </c>
      <c r="B2" s="203">
        <f>C30</f>
        <v>58288</v>
      </c>
      <c r="C2" s="1995" t="s">
        <v>1931</v>
      </c>
      <c r="D2" s="1996" t="s">
        <v>1932</v>
      </c>
      <c r="E2" s="3418" t="s">
        <v>669</v>
      </c>
      <c r="F2" s="1996" t="s">
        <v>1933</v>
      </c>
      <c r="G2" s="1997" t="str">
        <f>IF(E2="商业",项目基本情况!B37,IF(E2="办公",项目基本情况!C37,IF(E2="住宅",项目基本情况!D37,IF(E2="工业",项目基本情况!E37,项目基本情况!F37))))</f>
        <v>五级</v>
      </c>
      <c r="H2" s="1996" t="s">
        <v>1934</v>
      </c>
      <c r="I2" s="1997" t="str">
        <f>IF(E2="商业",项目基本情况!B38,IF(E2="办公",项目基本情况!C38,IF(E2="住宅",项目基本情况!D38,IF(E2="工业",项目基本情况!E38,项目基本情况!F38))))</f>
        <v>Ⅴ-32</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21156</v>
      </c>
      <c r="U2" s="1209">
        <f>Sheet1!D8</f>
        <v>8567.73</v>
      </c>
      <c r="V2" s="3357">
        <f>ROUND(T2*U2/10000,0)</f>
        <v>18126</v>
      </c>
      <c r="W2" s="1212"/>
      <c r="X2" s="1212"/>
      <c r="Y2" s="1212"/>
      <c r="Z2" s="1212"/>
      <c r="AA2" s="1212"/>
      <c r="AB2" s="1212"/>
      <c r="AC2" s="1213"/>
      <c r="AD2" s="1214"/>
      <c r="AE2" s="1214"/>
      <c r="AF2" s="1214"/>
      <c r="AG2" s="1214"/>
      <c r="AH2" s="1214"/>
      <c r="AI2" s="1214"/>
      <c r="AJ2" s="1215"/>
    </row>
    <row r="3" spans="1:36" ht="15.6">
      <c r="A3" s="202" t="s">
        <v>1936</v>
      </c>
      <c r="B3" s="203">
        <f>ROUND(B2*10000/D1,0)</f>
        <v>9304</v>
      </c>
      <c r="C3" s="1995" t="s">
        <v>1937</v>
      </c>
      <c r="D3" s="1996" t="s">
        <v>1938</v>
      </c>
      <c r="E3" s="3416" t="s">
        <v>2437</v>
      </c>
      <c r="F3" s="2000" t="s">
        <v>3409</v>
      </c>
      <c r="G3" s="748">
        <f>IF(F3="宗地容积率",'数据-汇总表'!I4,IF(F3="估价对象容积率",'数据-汇总表'!I6,'数据-汇总表'!I7))</f>
        <v>5.07</v>
      </c>
      <c r="H3" s="169" t="s">
        <v>1939</v>
      </c>
      <c r="I3" s="771"/>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16676</v>
      </c>
      <c r="U3" s="1209">
        <f>Sheet1!D9</f>
        <v>11262.54</v>
      </c>
      <c r="V3" s="3357">
        <f t="shared" ref="V3:V16" si="1">ROUND(T3*U3/10000,0)</f>
        <v>18781</v>
      </c>
      <c r="W3" s="1212"/>
      <c r="X3" s="1212"/>
      <c r="Y3" s="1212"/>
      <c r="Z3" s="1212"/>
      <c r="AA3" s="1212"/>
      <c r="AB3" s="1212"/>
      <c r="AC3" s="1213"/>
      <c r="AD3" s="1214"/>
      <c r="AE3" s="1214"/>
      <c r="AF3" s="1214"/>
      <c r="AG3" s="1214"/>
      <c r="AH3" s="1214"/>
      <c r="AI3" s="1214"/>
      <c r="AJ3" s="1215"/>
    </row>
    <row r="4" spans="1:36" ht="15.6">
      <c r="A4" s="3784"/>
      <c r="B4" s="3785"/>
      <c r="C4" s="3785"/>
      <c r="D4" s="3786"/>
      <c r="E4" s="3786"/>
      <c r="F4" s="3786"/>
      <c r="G4" s="3786"/>
      <c r="H4" s="3786"/>
      <c r="I4" s="3786"/>
      <c r="J4" s="3787"/>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14093</v>
      </c>
      <c r="U4" s="1209"/>
      <c r="V4" s="3357">
        <f t="shared" si="1"/>
        <v>0</v>
      </c>
      <c r="W4" s="1212"/>
      <c r="X4" s="1212"/>
      <c r="Y4" s="1212"/>
      <c r="Z4" s="1212"/>
      <c r="AA4" s="1212"/>
      <c r="AB4" s="1212"/>
      <c r="AC4" s="1213"/>
      <c r="AD4" s="1214"/>
      <c r="AE4" s="1214"/>
      <c r="AF4" s="1214"/>
      <c r="AG4" s="1214"/>
      <c r="AH4" s="1214"/>
      <c r="AI4" s="1214"/>
      <c r="AJ4" s="1215"/>
    </row>
    <row r="5" spans="1:36" s="2010" customFormat="1" ht="15.6" thickBot="1">
      <c r="A5" s="2001" t="s">
        <v>362</v>
      </c>
      <c r="B5" s="2002" t="s">
        <v>1943</v>
      </c>
      <c r="C5" s="749">
        <f>ROUND(IF(E2="商业",C6*C7*C17+C20,(IF(E2="住宅",C6*C13*C17+C20,IF(E2="办公",C6*C12*C17+C20,C6+C20)))),0)</f>
        <v>14860</v>
      </c>
      <c r="D5" s="1335">
        <f>ROUND(C6*C17+C20,0)</f>
        <v>14860</v>
      </c>
      <c r="E5" s="1335"/>
      <c r="F5" s="2003"/>
      <c r="G5" s="2004"/>
      <c r="H5" s="2004"/>
      <c r="I5" s="2004"/>
      <c r="J5" s="2005"/>
      <c r="K5" s="2006"/>
      <c r="L5" s="1999" t="s">
        <v>1944</v>
      </c>
      <c r="M5" s="860">
        <f>SUMPRODUCT((区片价!B87:B126=I2)*(区片价!C3:G3=E2)*(区片价!C87:G126))</f>
        <v>14860</v>
      </c>
      <c r="N5" s="862">
        <f>SUMPRODUCT((因素修正幅度!B87:B126=I2)*(因素修正幅度!C3:G3=E2)*(因素修正幅度!C87:G126))</f>
        <v>0.1</v>
      </c>
      <c r="O5" s="1115"/>
      <c r="P5" s="1115"/>
      <c r="Q5" s="1115"/>
      <c r="R5" s="1208">
        <v>4</v>
      </c>
      <c r="S5" s="3357">
        <f>ROUND(SUMPRODUCT((B106:B110=R5)*(C105:N105=G2)*(C106:N110)),4)</f>
        <v>0.88239999999999996</v>
      </c>
      <c r="T5" s="3357">
        <f t="shared" si="0"/>
        <v>12430</v>
      </c>
      <c r="U5" s="1209"/>
      <c r="V5" s="3357">
        <f t="shared" si="1"/>
        <v>0</v>
      </c>
      <c r="W5" s="1212"/>
      <c r="X5" s="1212"/>
      <c r="Y5" s="1212"/>
      <c r="Z5" s="1212"/>
      <c r="AA5" s="1212"/>
      <c r="AB5" s="1212"/>
      <c r="AC5" s="2007"/>
      <c r="AD5" s="2008"/>
      <c r="AE5" s="2008"/>
      <c r="AF5" s="2008"/>
      <c r="AG5" s="2008"/>
      <c r="AH5" s="2008"/>
      <c r="AI5" s="2008"/>
      <c r="AJ5" s="2009"/>
    </row>
    <row r="6" spans="1:36" ht="15.6" thickBot="1">
      <c r="A6" s="2011" t="s">
        <v>1945</v>
      </c>
      <c r="B6" s="2012" t="s">
        <v>1946</v>
      </c>
      <c r="C6" s="750">
        <f>SUMIF(L1:L12,G2,M1:M12)</f>
        <v>14860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11945</v>
      </c>
      <c r="U6" s="1209"/>
      <c r="V6" s="3357">
        <f t="shared" si="1"/>
        <v>0</v>
      </c>
      <c r="W6" s="1212"/>
      <c r="X6" s="1212"/>
      <c r="Y6" s="1212"/>
      <c r="Z6" s="1212"/>
      <c r="AA6" s="1212"/>
      <c r="AB6" s="1212"/>
      <c r="AC6" s="2007"/>
      <c r="AD6" s="2008"/>
      <c r="AE6" s="2008"/>
      <c r="AF6" s="2008"/>
      <c r="AG6" s="2008"/>
      <c r="AH6" s="2008"/>
      <c r="AI6" s="2008"/>
      <c r="AJ6" s="2009"/>
    </row>
    <row r="7" spans="1:36" ht="24.6" thickBot="1">
      <c r="A7" s="3300" t="s">
        <v>3239</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五级</v>
      </c>
      <c r="Y7" s="1210" t="s">
        <v>1952</v>
      </c>
      <c r="Z7" s="1211">
        <f>G3</f>
        <v>5.07</v>
      </c>
      <c r="AA7" s="1212"/>
      <c r="AB7" s="1212"/>
      <c r="AC7" s="1213"/>
      <c r="AD7" s="1214"/>
      <c r="AE7" s="1214"/>
      <c r="AF7" s="1214"/>
      <c r="AG7" s="1214"/>
      <c r="AH7" s="1214"/>
      <c r="AI7" s="1214"/>
      <c r="AJ7" s="1215"/>
    </row>
    <row r="8" spans="1:36" ht="26.4">
      <c r="A8" s="3295"/>
      <c r="B8" s="169" t="s">
        <v>1953</v>
      </c>
      <c r="C8" s="2022" t="s">
        <v>3411</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81" t="s">
        <v>1956</v>
      </c>
      <c r="X8" s="3782"/>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69" t="s">
        <v>1969</v>
      </c>
      <c r="C9" s="754">
        <f>SUMIF(修正!C71:C138,C8,修正!E71:E138)</f>
        <v>0</v>
      </c>
      <c r="D9" s="170" t="s">
        <v>113</v>
      </c>
      <c r="E9" s="170"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83"/>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1972</v>
      </c>
      <c r="C10" s="170">
        <f>SUMIF(修正!C71:C138,C8,修正!F71:F138)</f>
        <v>0</v>
      </c>
      <c r="D10" s="170" t="s">
        <v>114</v>
      </c>
      <c r="E10" s="170"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8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8" thickBot="1">
      <c r="A12" s="3300" t="s">
        <v>3240</v>
      </c>
      <c r="B12" s="3301" t="s">
        <v>3241</v>
      </c>
      <c r="C12" s="3302"/>
      <c r="D12" s="3303" t="s">
        <v>3242</v>
      </c>
      <c r="E12" s="3304" t="s">
        <v>3243</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24.6" thickBot="1">
      <c r="A13" s="3300" t="s">
        <v>3244</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24">
      <c r="A14" s="3294"/>
      <c r="B14" s="2036" t="s">
        <v>1981</v>
      </c>
      <c r="C14" s="2037" t="s">
        <v>1982</v>
      </c>
      <c r="D14" s="1346" t="s">
        <v>1983</v>
      </c>
      <c r="E14" s="27" t="s">
        <v>1984</v>
      </c>
      <c r="F14" s="3308" t="s">
        <v>3245</v>
      </c>
      <c r="G14" s="3308" t="s">
        <v>3245</v>
      </c>
      <c r="H14" s="3308" t="s">
        <v>3245</v>
      </c>
      <c r="I14" s="3308" t="s">
        <v>3245</v>
      </c>
      <c r="J14" s="3308" t="s">
        <v>3245</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3246</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6"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ht="24">
      <c r="A17" s="3326" t="s">
        <v>3247</v>
      </c>
      <c r="B17" s="3317" t="s">
        <v>3248</v>
      </c>
      <c r="C17" s="3327">
        <f>ROUND(IF(OR(E2="工业",E2="公共服务"),1,IF(AND(E18=0,E19=0),1,IF(AND(E18=J24,E19=G19),0.8,IF(E19=0,1+E17*(-0.2),1+E17*G17*(-0.2))))),4)</f>
        <v>1</v>
      </c>
      <c r="D17" s="3318" t="s">
        <v>3249</v>
      </c>
      <c r="E17" s="3327">
        <f>ROUND(G18/I18,2)</f>
        <v>0</v>
      </c>
      <c r="F17" s="3318" t="s">
        <v>3252</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3.8">
      <c r="A18" s="3329"/>
      <c r="B18" s="3006"/>
      <c r="C18" s="3324"/>
      <c r="D18" s="3319" t="s">
        <v>3250</v>
      </c>
      <c r="E18" s="3325"/>
      <c r="F18" s="3320" t="s">
        <v>3253</v>
      </c>
      <c r="G18" s="3324">
        <f>ROUND(1-(1/(POWER(1+G24,E18))),4)</f>
        <v>0</v>
      </c>
      <c r="H18" s="3320" t="s">
        <v>3255</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4.4" thickBot="1">
      <c r="A19" s="3331"/>
      <c r="B19" s="3332"/>
      <c r="C19" s="3333"/>
      <c r="D19" s="3333" t="s">
        <v>3251</v>
      </c>
      <c r="E19" s="3334"/>
      <c r="F19" s="3335" t="s">
        <v>3254</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3.8">
      <c r="A20" s="3788" t="s">
        <v>3256</v>
      </c>
      <c r="B20" s="166" t="s">
        <v>1990</v>
      </c>
      <c r="C20" s="3321">
        <f>ROUND(IF(F21="与级别开发程度一致",0,(G21-E21)/C21),0)</f>
        <v>0</v>
      </c>
      <c r="D20" s="3337" t="s">
        <v>1994</v>
      </c>
      <c r="E20" s="3338"/>
      <c r="F20" s="3794" t="s">
        <v>1991</v>
      </c>
      <c r="G20" s="3795"/>
      <c r="H20" s="3322"/>
      <c r="I20" s="3322"/>
      <c r="J20" s="3323"/>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7" thickBot="1">
      <c r="A21" s="3789"/>
      <c r="B21" s="2160" t="s">
        <v>1993</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3412</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 thickBot="1">
      <c r="A22" s="2154" t="s">
        <v>363</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7" thickBot="1">
      <c r="A23" s="2046" t="s">
        <v>364</v>
      </c>
      <c r="B23" s="2047" t="s">
        <v>1997</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0" t="s">
        <v>1998</v>
      </c>
      <c r="E23" s="757">
        <v>44197</v>
      </c>
      <c r="F23" s="2050" t="s">
        <v>1999</v>
      </c>
      <c r="G23" s="758">
        <f>'数据-取费表'!B2</f>
        <v>45086</v>
      </c>
      <c r="H23" s="3339" t="s">
        <v>3258</v>
      </c>
      <c r="I23" s="3340" t="str">
        <f>IF(H23="季度增幅（自定义）",SUMIF(N25:N28,E2,O25:O28),"")</f>
        <v/>
      </c>
      <c r="J23" s="3442" t="s">
        <v>3257</v>
      </c>
      <c r="K23" s="1121"/>
      <c r="L23" s="2051" t="s">
        <v>2000</v>
      </c>
      <c r="M23" s="1324">
        <f>ROUND(SUMIF(地价!B2:G2,E2,地价!B16:G16),0)</f>
        <v>350</v>
      </c>
      <c r="N23" s="2052" t="s">
        <v>2001</v>
      </c>
      <c r="O23" s="759">
        <f>ROUNDDOWN(DATEDIF(E23,G23,"M")/3,0)</f>
        <v>9</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6" thickBot="1">
      <c r="A24" s="2054" t="s">
        <v>365</v>
      </c>
      <c r="B24" s="2055" t="s">
        <v>2002</v>
      </c>
      <c r="C24" s="760">
        <f>ROUND(POWER(1+G24,J24-I24)*(POWER(1+G24,I24)-1)/(POWER(1+G24,J24)-1),4)</f>
        <v>0.87429999999999997</v>
      </c>
      <c r="D24" s="2056" t="s">
        <v>2003</v>
      </c>
      <c r="E24" s="1331">
        <f>存贷款利率!E22/100</f>
        <v>4.3499999999999997E-2</v>
      </c>
      <c r="F24" s="2056" t="s">
        <v>1995</v>
      </c>
      <c r="G24" s="764">
        <f>SUMIF(M30:Q30,E2,M33:Q33)</f>
        <v>5.5E-2</v>
      </c>
      <c r="H24" s="2056" t="s">
        <v>2004</v>
      </c>
      <c r="I24" s="765">
        <f>SUMIF('数据-取费表'!C6:C15,E2,'数据-取费表'!F6:F15)/COUNTIF('数据-取费表'!C6:C15,E2)</f>
        <v>27.58</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4.4">
      <c r="A25" s="2061" t="s">
        <v>366</v>
      </c>
      <c r="B25" s="2062" t="s">
        <v>3410</v>
      </c>
      <c r="C25" s="767">
        <f>IF(B25="容积率修正",IF(G3&lt;10,D26,J26),C27)</f>
        <v>0</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4">
      <c r="A26" s="1951" t="s">
        <v>2010</v>
      </c>
      <c r="B26" s="2066" t="s">
        <v>2011</v>
      </c>
      <c r="C26" s="3341" t="s">
        <v>3259</v>
      </c>
      <c r="D26" s="1348">
        <f>IF(E26=G26,F26,IF(G3&lt;10,ROUND(F26+(H26-F26)*(G3-E26)/(G26-E26),4),"——"))</f>
        <v>0.90680000000000005</v>
      </c>
      <c r="E26" s="748">
        <f>ROUNDDOWN(G3,1)</f>
        <v>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48">
        <f>ROUNDUP(G3,1)</f>
        <v>5.0999999999999996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3341" t="s">
        <v>3260</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 thickBot="1">
      <c r="A28" s="2054" t="s">
        <v>367</v>
      </c>
      <c r="B28" s="2047" t="s">
        <v>2016</v>
      </c>
      <c r="C28" s="756">
        <f>SUMIF(A47:A101,E2,B47:B101)</f>
        <v>1.05</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 thickBot="1">
      <c r="A29" s="2054" t="s">
        <v>368</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4.4">
      <c r="A30" s="2078"/>
      <c r="B30" s="2066" t="s">
        <v>2020</v>
      </c>
      <c r="C30" s="2317">
        <f>IF(B25="容积率修正",E33+SUM(E37:E42),SUM(V2:V16)+SUM(E37:E42))</f>
        <v>58288</v>
      </c>
      <c r="D30" s="2079"/>
      <c r="E30" s="2042"/>
      <c r="F30" s="2080"/>
      <c r="G30" s="2042"/>
      <c r="H30" s="2042"/>
      <c r="I30" s="2042"/>
      <c r="J30" s="2081"/>
      <c r="K30" s="1115"/>
      <c r="L30" s="3347" t="s">
        <v>1932</v>
      </c>
      <c r="M30" s="3348" t="s">
        <v>1986</v>
      </c>
      <c r="N30" s="3348" t="s">
        <v>1987</v>
      </c>
      <c r="O30" s="3348" t="s">
        <v>1988</v>
      </c>
      <c r="P30" s="3348" t="s">
        <v>1989</v>
      </c>
      <c r="Q30" s="3351" t="s">
        <v>3264</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 thickBot="1">
      <c r="A31" s="2078"/>
      <c r="B31" s="2082" t="s">
        <v>2021</v>
      </c>
      <c r="C31" s="762">
        <f>E34+SUM(I37:I42)</f>
        <v>5346</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3.8">
      <c r="A33" s="2092"/>
      <c r="B33" s="2093" t="s">
        <v>2026</v>
      </c>
      <c r="C33" s="174">
        <f>ROUND(C5*C22*C23*C24*C25*C28,0)</f>
        <v>0</v>
      </c>
      <c r="D33" s="2094"/>
      <c r="E33" s="769">
        <f>ROUND(C33*D33/10000,0)</f>
        <v>0</v>
      </c>
      <c r="F33" s="3342" t="s">
        <v>3262</v>
      </c>
      <c r="G33" s="2095"/>
      <c r="H33" s="2095"/>
      <c r="I33" s="2095"/>
      <c r="J33" s="2096"/>
      <c r="K33" s="1115"/>
      <c r="L33" s="3345" t="s">
        <v>3265</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8" thickBot="1">
      <c r="A34" s="2097"/>
      <c r="B34" s="2098" t="s">
        <v>2027</v>
      </c>
      <c r="C34" s="186" t="e">
        <f>ROUND(IF(E2="工业",C33*M42,IF(B25="楼层修正",SUM(V2:V16)*M41*10000/D34,C33*M41)),0)</f>
        <v>#DIV/0!</v>
      </c>
      <c r="D34" s="2099"/>
      <c r="E34" s="769">
        <f>ROUND(IF(B25="楼层修正",SUM(V2:V16)*M40,C34*D34/10000),0)</f>
        <v>0</v>
      </c>
      <c r="F34" s="2100" t="s">
        <v>2028</v>
      </c>
      <c r="G34" s="2101"/>
      <c r="H34" s="2101"/>
      <c r="I34" s="2101"/>
      <c r="J34" s="2102"/>
      <c r="K34" s="1115"/>
      <c r="L34" s="3345" t="s">
        <v>3266</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3263</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36.6" thickBot="1">
      <c r="A36" s="2092"/>
      <c r="B36" s="2107"/>
      <c r="C36" s="449" t="s">
        <v>2023</v>
      </c>
      <c r="D36" s="446" t="s">
        <v>2024</v>
      </c>
      <c r="E36" s="446" t="s">
        <v>2025</v>
      </c>
      <c r="F36" s="341" t="s">
        <v>2031</v>
      </c>
      <c r="G36" s="2108" t="s">
        <v>2023</v>
      </c>
      <c r="H36" s="2108" t="s">
        <v>2024</v>
      </c>
      <c r="I36" s="2108" t="s">
        <v>2025</v>
      </c>
      <c r="J36" s="242"/>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6" thickBot="1">
      <c r="A37" s="3792"/>
      <c r="B37" s="2109" t="s">
        <v>2032</v>
      </c>
      <c r="C37" s="174">
        <f>ROUND(D5*C22*C23*C24*C28*F37,0)</f>
        <v>8452</v>
      </c>
      <c r="D37" s="2094">
        <f>Sheet1!C10</f>
        <v>2297.4300000000003</v>
      </c>
      <c r="E37" s="170">
        <f>ROUND(C37*D37/10000,0)</f>
        <v>1942</v>
      </c>
      <c r="F37" s="170">
        <f>SUMIF(修正!A57:A68,G2,修正!B57:B68)</f>
        <v>0.6</v>
      </c>
      <c r="G37" s="170">
        <f>ROUND(IF(E2="工业",C37*$M$42,C37*$M$41),0)</f>
        <v>2113</v>
      </c>
      <c r="H37" s="170">
        <f>D37</f>
        <v>2297.4300000000003</v>
      </c>
      <c r="I37" s="170">
        <f>ROUND(G37*H37/10000,0)</f>
        <v>485</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93"/>
      <c r="B38" s="2037" t="s">
        <v>2033</v>
      </c>
      <c r="C38" s="174">
        <f>ROUND(D5*C22*C23*C24*C28*F38,0)</f>
        <v>4226</v>
      </c>
      <c r="D38" s="2094">
        <f>Sheet1!E11</f>
        <v>29689.33</v>
      </c>
      <c r="E38" s="170">
        <f t="shared" ref="E38:E42" si="4">ROUND(C38*D38/10000,0)</f>
        <v>12547</v>
      </c>
      <c r="F38" s="170">
        <f>SUMIF(修正!A57:A68,G2,修正!C57:C68)</f>
        <v>0.3</v>
      </c>
      <c r="G38" s="170">
        <f>ROUND(IF(E2="工业",C38*$M$42,C38*$M$41),0)</f>
        <v>1057</v>
      </c>
      <c r="H38" s="170">
        <f t="shared" ref="H38:H42" si="5">D38</f>
        <v>29689.33</v>
      </c>
      <c r="I38" s="170">
        <f t="shared" ref="I38:I42" si="6">ROUND(G38*H38/10000,0)</f>
        <v>3138</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8" thickBot="1">
      <c r="A39" s="3793"/>
      <c r="B39" s="2037" t="s">
        <v>3261</v>
      </c>
      <c r="C39" s="174">
        <f>ROUND(D5*C22*C23*C24*C28*F39,0)</f>
        <v>3522</v>
      </c>
      <c r="D39" s="2094"/>
      <c r="E39" s="170">
        <f t="shared" si="4"/>
        <v>0</v>
      </c>
      <c r="F39" s="170">
        <f>SUMIF(修正!A57:A68,G2,修正!D57:D68)</f>
        <v>0.25</v>
      </c>
      <c r="G39" s="170">
        <f>ROUND(IF(E2="工业",C39*$M$42,C39*$M$41),0)</f>
        <v>881</v>
      </c>
      <c r="H39" s="170">
        <f t="shared" si="5"/>
        <v>0</v>
      </c>
      <c r="I39" s="170">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0">
        <f>ROUND(D5*C22*C23*C24*C28*F40,0)</f>
        <v>3522</v>
      </c>
      <c r="D40" s="2094"/>
      <c r="E40" s="170">
        <f t="shared" si="4"/>
        <v>0</v>
      </c>
      <c r="F40" s="174">
        <f>SUMIF(修正!A57:A68,G2,修正!E57:E68)</f>
        <v>0.25</v>
      </c>
      <c r="G40" s="170">
        <f>ROUND(IF(E2="工业",C40*$M$42,C40*$M$41),0)</f>
        <v>881</v>
      </c>
      <c r="H40" s="170">
        <f t="shared" si="5"/>
        <v>0</v>
      </c>
      <c r="I40" s="170">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0">
        <f>ROUND(D5*C22*C23*C44*C28*F41,0)</f>
        <v>3747</v>
      </c>
      <c r="D41" s="2094"/>
      <c r="E41" s="170">
        <f t="shared" si="4"/>
        <v>0</v>
      </c>
      <c r="F41" s="174">
        <f>SUMIF(修正!A57:A68,G2,修正!F57:F68)</f>
        <v>0.25</v>
      </c>
      <c r="G41" s="170">
        <f>ROUND(IF(E2="工业",C41*$M$42,C41*$M$41),0)</f>
        <v>937</v>
      </c>
      <c r="H41" s="170">
        <f t="shared" si="5"/>
        <v>0</v>
      </c>
      <c r="I41" s="170">
        <f t="shared" si="6"/>
        <v>0</v>
      </c>
      <c r="J41" s="2110"/>
      <c r="L41" s="3356" t="s">
        <v>3269</v>
      </c>
      <c r="M41" s="2114">
        <v>0.25</v>
      </c>
      <c r="Z41" s="1116"/>
      <c r="AA41" s="1116"/>
      <c r="AB41" s="1116"/>
      <c r="AC41" s="1116"/>
      <c r="AD41" s="1116"/>
      <c r="AE41" s="1116"/>
      <c r="AF41" s="1116"/>
      <c r="AG41" s="1116"/>
      <c r="AH41" s="1116"/>
      <c r="AI41" s="1116"/>
      <c r="AJ41" s="1116"/>
    </row>
    <row r="42" spans="1:37" s="1115" customFormat="1" ht="13.8" thickBot="1">
      <c r="A42" s="2097"/>
      <c r="B42" s="2115" t="s">
        <v>2037</v>
      </c>
      <c r="C42" s="186">
        <f>ROUND(D5*C22*C23*C44*C28*F42,0)</f>
        <v>2248</v>
      </c>
      <c r="D42" s="2099">
        <f>Sheet1!E12</f>
        <v>30659.07</v>
      </c>
      <c r="E42" s="186">
        <f t="shared" si="4"/>
        <v>6892</v>
      </c>
      <c r="F42" s="763">
        <f>SUMIF(修正!A57:A68,G2,修正!G57:G68)</f>
        <v>0.15</v>
      </c>
      <c r="G42" s="186">
        <f>ROUND(IF(E2="工业",C42*$M$42,C42*$M$41),0)</f>
        <v>562</v>
      </c>
      <c r="H42" s="186">
        <f t="shared" si="5"/>
        <v>30659.07</v>
      </c>
      <c r="I42" s="186">
        <f t="shared" si="6"/>
        <v>1723</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50" t="s">
        <v>2118</v>
      </c>
      <c r="C44" s="341">
        <f>ROUND(POWER(1+E44,H44-G44)*(POWER(1+E44,G44)-1)/(POWER(1+E44,H44)-1),4)</f>
        <v>0.93030000000000002</v>
      </c>
      <c r="D44" s="170" t="s">
        <v>1995</v>
      </c>
      <c r="E44" s="2149">
        <f>G24</f>
        <v>5.5E-2</v>
      </c>
      <c r="F44" s="170" t="s">
        <v>2004</v>
      </c>
      <c r="G44" s="182">
        <f>项目基本情况!F15</f>
        <v>37.590000000000003</v>
      </c>
      <c r="H44" s="170">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c r="A48" s="2122" t="s">
        <v>2039</v>
      </c>
      <c r="B48" s="2123">
        <f>1+E50</f>
        <v>1.05</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c r="A49" s="2126" t="s">
        <v>2040</v>
      </c>
      <c r="B49" s="1347" t="s">
        <v>2041</v>
      </c>
      <c r="C49" s="1347" t="s">
        <v>2042</v>
      </c>
      <c r="D49" s="1347" t="s">
        <v>2043</v>
      </c>
      <c r="E49" s="739" t="s">
        <v>2044</v>
      </c>
      <c r="F49" s="2127" t="s">
        <v>2045</v>
      </c>
      <c r="G49" s="1347" t="s">
        <v>310</v>
      </c>
      <c r="H49" s="2128" t="s">
        <v>2046</v>
      </c>
      <c r="I49" s="1347" t="s">
        <v>2047</v>
      </c>
      <c r="J49" s="551" t="s">
        <v>1717</v>
      </c>
      <c r="K49" s="551" t="s">
        <v>1718</v>
      </c>
      <c r="L49" s="551" t="s">
        <v>1719</v>
      </c>
      <c r="M49" s="551" t="s">
        <v>1720</v>
      </c>
      <c r="N49" s="551" t="s">
        <v>1721</v>
      </c>
      <c r="AA49" s="1116"/>
      <c r="AB49" s="1116"/>
      <c r="AC49" s="1116"/>
      <c r="AD49" s="1116"/>
      <c r="AE49" s="1116"/>
      <c r="AF49" s="1116"/>
      <c r="AG49" s="1116"/>
      <c r="AH49" s="1116"/>
      <c r="AI49" s="1116"/>
      <c r="AJ49" s="1116"/>
      <c r="AK49" s="1116"/>
    </row>
    <row r="50" spans="1:37" s="1115" customFormat="1" ht="39.6">
      <c r="A50" s="2126" t="s">
        <v>2048</v>
      </c>
      <c r="B50" s="2129" t="str">
        <f>估价对象房地状况!C4</f>
        <v>估价对象位于XX商圈，周边商业氛围成熟，人流量大，商业繁华度好</v>
      </c>
      <c r="C50" s="2040" t="s">
        <v>3414</v>
      </c>
      <c r="D50" s="1061">
        <f t="shared" ref="D50:D58" si="7">SUMIF($J$49:$N$49,C50,J50:N50)</f>
        <v>1.4999999999999999E-2</v>
      </c>
      <c r="E50" s="740">
        <f>ROUND(SUM(D50:D58),4)</f>
        <v>0.05</v>
      </c>
      <c r="F50" s="1810">
        <f>IF(E2="商业",SUMIF(L1:L12,G2,N1:N12),"——")</f>
        <v>0.1</v>
      </c>
      <c r="G50" s="1059">
        <f>H50</f>
        <v>1.4999999999999999E-2</v>
      </c>
      <c r="H50" s="1062">
        <f t="shared" ref="H50:H58" si="8">IFERROR(ROUNDDOWN($F$50*I50/2,4),"——")</f>
        <v>1.4999999999999999E-2</v>
      </c>
      <c r="I50" s="3363">
        <v>0.3</v>
      </c>
      <c r="J50" s="1060">
        <f t="shared" ref="J50:J58" si="9">K50+$G50</f>
        <v>0.03</v>
      </c>
      <c r="K50" s="1060">
        <f t="shared" ref="K50:K58" si="10">$L50+$G50</f>
        <v>1.4999999999999999E-2</v>
      </c>
      <c r="L50" s="1060">
        <v>0</v>
      </c>
      <c r="M50" s="1060">
        <f t="shared" ref="M50:N58" si="11">L50-$G50</f>
        <v>-1.4999999999999999E-2</v>
      </c>
      <c r="N50" s="1060">
        <f t="shared" si="11"/>
        <v>-0.03</v>
      </c>
      <c r="AA50" s="1116"/>
      <c r="AB50" s="1116"/>
      <c r="AC50" s="1116"/>
      <c r="AD50" s="1116"/>
      <c r="AE50" s="1116"/>
      <c r="AF50" s="1116"/>
      <c r="AG50" s="1116"/>
      <c r="AH50" s="1116"/>
      <c r="AI50" s="1116"/>
      <c r="AJ50" s="1116"/>
      <c r="AK50" s="1116"/>
    </row>
    <row r="51" spans="1:37" s="1115" customFormat="1" ht="52.8">
      <c r="A51" s="2126" t="s">
        <v>2049</v>
      </c>
      <c r="B51" s="2130" t="str">
        <f>估价对象房地状况!C18</f>
        <v>估价对象周边道路状况、公共交通通达情况、停车便捷程度，综合评价交通便捷度较好</v>
      </c>
      <c r="C51" s="2040" t="s">
        <v>3414</v>
      </c>
      <c r="D51" s="1061">
        <f t="shared" si="7"/>
        <v>1.0999999999999999E-2</v>
      </c>
      <c r="E51" s="741"/>
      <c r="F51" s="1810"/>
      <c r="G51" s="1059">
        <f t="shared" ref="G51:G58" si="12">H51</f>
        <v>1.0999999999999999E-2</v>
      </c>
      <c r="H51" s="1062">
        <f t="shared" si="8"/>
        <v>1.0999999999999999E-2</v>
      </c>
      <c r="I51" s="3363">
        <v>0.22</v>
      </c>
      <c r="J51" s="1060">
        <f t="shared" si="9"/>
        <v>2.1999999999999999E-2</v>
      </c>
      <c r="K51" s="1060">
        <f t="shared" si="10"/>
        <v>1.0999999999999999E-2</v>
      </c>
      <c r="L51" s="1060">
        <v>0</v>
      </c>
      <c r="M51" s="1060">
        <f t="shared" si="11"/>
        <v>-1.0999999999999999E-2</v>
      </c>
      <c r="N51" s="1060">
        <f t="shared" si="11"/>
        <v>-2.1999999999999999E-2</v>
      </c>
      <c r="AA51" s="1116"/>
      <c r="AB51" s="1116"/>
      <c r="AC51" s="1116"/>
      <c r="AD51" s="1116"/>
      <c r="AE51" s="1116"/>
      <c r="AF51" s="1116"/>
      <c r="AG51" s="1116"/>
      <c r="AH51" s="1116"/>
      <c r="AI51" s="1116"/>
      <c r="AJ51" s="1116"/>
      <c r="AK51" s="1116"/>
    </row>
    <row r="52" spans="1:37" s="1115" customFormat="1" ht="48">
      <c r="A52" s="3365" t="s">
        <v>3271</v>
      </c>
      <c r="B52" s="2130">
        <f>估价对象房地状况!C19</f>
        <v>0</v>
      </c>
      <c r="C52" s="2040" t="s">
        <v>3414</v>
      </c>
      <c r="D52" s="1061">
        <f t="shared" si="7"/>
        <v>6.0000000000000001E-3</v>
      </c>
      <c r="E52" s="741"/>
      <c r="F52" s="1810"/>
      <c r="G52" s="1059">
        <f t="shared" si="12"/>
        <v>6.0000000000000001E-3</v>
      </c>
      <c r="H52" s="1062">
        <f t="shared" si="8"/>
        <v>6.0000000000000001E-3</v>
      </c>
      <c r="I52" s="3363">
        <v>0.12</v>
      </c>
      <c r="J52" s="1060">
        <f t="shared" si="9"/>
        <v>1.2E-2</v>
      </c>
      <c r="K52" s="1060">
        <f t="shared" si="10"/>
        <v>6.0000000000000001E-3</v>
      </c>
      <c r="L52" s="1060">
        <v>0</v>
      </c>
      <c r="M52" s="1060">
        <f t="shared" si="11"/>
        <v>-6.0000000000000001E-3</v>
      </c>
      <c r="N52" s="1060">
        <f t="shared" si="11"/>
        <v>-1.2E-2</v>
      </c>
      <c r="AA52" s="1116"/>
      <c r="AB52" s="1116"/>
      <c r="AC52" s="1116"/>
      <c r="AD52" s="1116"/>
      <c r="AE52" s="1116"/>
      <c r="AF52" s="1116"/>
      <c r="AG52" s="1116"/>
      <c r="AH52" s="1116"/>
      <c r="AI52" s="1116"/>
      <c r="AJ52" s="1116"/>
      <c r="AK52" s="1116"/>
    </row>
    <row r="53" spans="1:37" s="1115" customFormat="1" ht="37.200000000000003">
      <c r="A53" s="2126" t="s">
        <v>2050</v>
      </c>
      <c r="B53" s="2131" t="s">
        <v>2051</v>
      </c>
      <c r="C53" s="2040" t="s">
        <v>3414</v>
      </c>
      <c r="D53" s="1061">
        <f t="shared" si="7"/>
        <v>2.5000000000000001E-3</v>
      </c>
      <c r="E53" s="741"/>
      <c r="F53" s="1810"/>
      <c r="G53" s="1059">
        <f t="shared" si="12"/>
        <v>2.5000000000000001E-3</v>
      </c>
      <c r="H53" s="1062">
        <f t="shared" si="8"/>
        <v>2.5000000000000001E-3</v>
      </c>
      <c r="I53" s="3363">
        <v>0.05</v>
      </c>
      <c r="J53" s="1060">
        <f t="shared" si="9"/>
        <v>5.0000000000000001E-3</v>
      </c>
      <c r="K53" s="1060">
        <f t="shared" si="10"/>
        <v>2.5000000000000001E-3</v>
      </c>
      <c r="L53" s="1060">
        <v>0</v>
      </c>
      <c r="M53" s="1060">
        <f t="shared" si="11"/>
        <v>-2.5000000000000001E-3</v>
      </c>
      <c r="N53" s="1060">
        <f t="shared" si="11"/>
        <v>-5.0000000000000001E-3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3413</v>
      </c>
      <c r="D54" s="1061">
        <f t="shared" si="7"/>
        <v>0</v>
      </c>
      <c r="E54" s="741"/>
      <c r="F54" s="1810"/>
      <c r="G54" s="1059">
        <f t="shared" si="12"/>
        <v>4.0000000000000001E-3</v>
      </c>
      <c r="H54" s="1062">
        <f t="shared" si="8"/>
        <v>4.0000000000000001E-3</v>
      </c>
      <c r="I54" s="3363">
        <v>0.08</v>
      </c>
      <c r="J54" s="1060">
        <f t="shared" si="9"/>
        <v>8.0000000000000002E-3</v>
      </c>
      <c r="K54" s="1060">
        <f t="shared" si="10"/>
        <v>4.0000000000000001E-3</v>
      </c>
      <c r="L54" s="1060">
        <v>0</v>
      </c>
      <c r="M54" s="1060">
        <f t="shared" si="11"/>
        <v>-4.0000000000000001E-3</v>
      </c>
      <c r="N54" s="1060">
        <f t="shared" si="11"/>
        <v>-8.0000000000000002E-3</v>
      </c>
      <c r="AA54" s="1116"/>
      <c r="AB54" s="1116"/>
      <c r="AC54" s="1116"/>
      <c r="AD54" s="1116"/>
      <c r="AE54" s="1116"/>
      <c r="AF54" s="1116"/>
      <c r="AG54" s="1116"/>
      <c r="AH54" s="1116"/>
      <c r="AI54" s="1116"/>
      <c r="AJ54" s="1116"/>
      <c r="AK54" s="1116"/>
    </row>
    <row r="55" spans="1:37" s="1115" customFormat="1" ht="36">
      <c r="A55" s="2126" t="s">
        <v>2053</v>
      </c>
      <c r="B55" s="2132" t="s">
        <v>2054</v>
      </c>
      <c r="C55" s="2040" t="s">
        <v>3414</v>
      </c>
      <c r="D55" s="1061">
        <f t="shared" si="7"/>
        <v>2.5000000000000001E-3</v>
      </c>
      <c r="E55" s="741"/>
      <c r="F55" s="1810"/>
      <c r="G55" s="1059">
        <f t="shared" si="12"/>
        <v>2.5000000000000001E-3</v>
      </c>
      <c r="H55" s="1062">
        <f t="shared" si="8"/>
        <v>2.5000000000000001E-3</v>
      </c>
      <c r="I55" s="3363">
        <v>0.05</v>
      </c>
      <c r="J55" s="1060">
        <f t="shared" si="9"/>
        <v>5.0000000000000001E-3</v>
      </c>
      <c r="K55" s="1060">
        <f t="shared" si="10"/>
        <v>2.5000000000000001E-3</v>
      </c>
      <c r="L55" s="1060">
        <v>0</v>
      </c>
      <c r="M55" s="1060">
        <f t="shared" si="11"/>
        <v>-2.5000000000000001E-3</v>
      </c>
      <c r="N55" s="1060">
        <f t="shared" si="11"/>
        <v>-5.0000000000000001E-3</v>
      </c>
      <c r="AA55" s="1116"/>
      <c r="AB55" s="1116"/>
      <c r="AC55" s="1116"/>
      <c r="AD55" s="1116"/>
      <c r="AE55" s="1116"/>
      <c r="AF55" s="1116"/>
      <c r="AG55" s="1116"/>
      <c r="AH55" s="1116"/>
      <c r="AI55" s="1116"/>
      <c r="AJ55" s="1116"/>
      <c r="AK55" s="1116"/>
    </row>
    <row r="56" spans="1:37" s="1115" customFormat="1" ht="26.4">
      <c r="A56" s="2133" t="s">
        <v>2055</v>
      </c>
      <c r="B56" s="1322" t="str">
        <f>估价对象房地状况!C21</f>
        <v>估价对象所在区域公共配套设施齐备情况</v>
      </c>
      <c r="C56" s="2040" t="s">
        <v>3414</v>
      </c>
      <c r="D56" s="1061">
        <f t="shared" si="7"/>
        <v>2.5000000000000001E-3</v>
      </c>
      <c r="E56" s="741"/>
      <c r="F56" s="1810"/>
      <c r="G56" s="1059">
        <f t="shared" si="12"/>
        <v>2.5000000000000001E-3</v>
      </c>
      <c r="H56" s="1062">
        <f t="shared" si="8"/>
        <v>2.5000000000000001E-3</v>
      </c>
      <c r="I56" s="3363">
        <v>0.05</v>
      </c>
      <c r="J56" s="1060">
        <f t="shared" si="9"/>
        <v>5.0000000000000001E-3</v>
      </c>
      <c r="K56" s="1060">
        <f t="shared" si="10"/>
        <v>2.5000000000000001E-3</v>
      </c>
      <c r="L56" s="1060">
        <v>0</v>
      </c>
      <c r="M56" s="1060">
        <f t="shared" si="11"/>
        <v>-2.5000000000000001E-3</v>
      </c>
      <c r="N56" s="1060">
        <f t="shared" si="11"/>
        <v>-5.0000000000000001E-3</v>
      </c>
      <c r="AA56" s="1116"/>
      <c r="AB56" s="1116"/>
      <c r="AC56" s="1116"/>
      <c r="AD56" s="1116"/>
      <c r="AE56" s="1116"/>
      <c r="AF56" s="1116"/>
      <c r="AG56" s="1116"/>
      <c r="AH56" s="1116"/>
      <c r="AI56" s="1116"/>
      <c r="AJ56" s="1116"/>
      <c r="AK56" s="1116"/>
    </row>
    <row r="57" spans="1:37" s="1115" customFormat="1" ht="26.4">
      <c r="A57" s="2133" t="s">
        <v>2056</v>
      </c>
      <c r="B57" s="2130" t="str">
        <f>估价对象房地状况!C22</f>
        <v>估价对象所在区域基础设施水平</v>
      </c>
      <c r="C57" s="2040" t="s">
        <v>3415</v>
      </c>
      <c r="D57" s="1061">
        <f t="shared" si="7"/>
        <v>8.0000000000000002E-3</v>
      </c>
      <c r="E57" s="741"/>
      <c r="F57" s="1810"/>
      <c r="G57" s="1059">
        <f t="shared" si="12"/>
        <v>4.0000000000000001E-3</v>
      </c>
      <c r="H57" s="1062">
        <f t="shared" si="8"/>
        <v>4.0000000000000001E-3</v>
      </c>
      <c r="I57" s="3363">
        <v>0.08</v>
      </c>
      <c r="J57" s="1060">
        <f t="shared" si="9"/>
        <v>8.0000000000000002E-3</v>
      </c>
      <c r="K57" s="1060">
        <f t="shared" si="10"/>
        <v>4.0000000000000001E-3</v>
      </c>
      <c r="L57" s="1060">
        <v>0</v>
      </c>
      <c r="M57" s="1060">
        <f t="shared" si="11"/>
        <v>-4.0000000000000001E-3</v>
      </c>
      <c r="N57" s="1060">
        <f t="shared" si="11"/>
        <v>-8.0000000000000002E-3</v>
      </c>
      <c r="AA57" s="1116"/>
      <c r="AB57" s="1116"/>
      <c r="AC57" s="1116"/>
      <c r="AD57" s="1116"/>
      <c r="AE57" s="1116"/>
      <c r="AF57" s="1116"/>
      <c r="AG57" s="1116"/>
      <c r="AH57" s="1116"/>
      <c r="AI57" s="1116"/>
      <c r="AJ57" s="1116"/>
      <c r="AK57" s="1116"/>
    </row>
    <row r="58" spans="1:37" s="1115" customFormat="1" ht="40.200000000000003" thickBot="1">
      <c r="A58" s="2134" t="s">
        <v>2057</v>
      </c>
      <c r="B58" s="2135" t="str">
        <f>估价对象房地状况!C20</f>
        <v>区域自然环境：；人文环境；综合评价环境状况一般</v>
      </c>
      <c r="C58" s="2040" t="s">
        <v>3414</v>
      </c>
      <c r="D58" s="1061">
        <f t="shared" si="7"/>
        <v>2.5000000000000001E-3</v>
      </c>
      <c r="E58" s="742"/>
      <c r="F58" s="1810"/>
      <c r="G58" s="1059">
        <f t="shared" si="12"/>
        <v>2.5000000000000001E-3</v>
      </c>
      <c r="H58" s="1062">
        <f t="shared" si="8"/>
        <v>2.5000000000000001E-3</v>
      </c>
      <c r="I58" s="3364">
        <v>0.05</v>
      </c>
      <c r="J58" s="1060">
        <f t="shared" si="9"/>
        <v>5.0000000000000001E-3</v>
      </c>
      <c r="K58" s="1060">
        <f t="shared" si="10"/>
        <v>2.5000000000000001E-3</v>
      </c>
      <c r="L58" s="1060">
        <v>0</v>
      </c>
      <c r="M58" s="1060">
        <f t="shared" si="11"/>
        <v>-2.5000000000000001E-3</v>
      </c>
      <c r="N58" s="1060">
        <f t="shared" si="11"/>
        <v>-5.0000000000000001E-3</v>
      </c>
      <c r="AA58" s="1116"/>
      <c r="AB58" s="1116"/>
      <c r="AC58" s="1116"/>
      <c r="AD58" s="1116"/>
      <c r="AE58" s="1116"/>
      <c r="AF58" s="1116"/>
      <c r="AG58" s="1116"/>
      <c r="AH58" s="1116"/>
      <c r="AI58" s="1116"/>
      <c r="AJ58" s="1116"/>
      <c r="AK58" s="1116"/>
    </row>
    <row r="59" spans="1:37" s="1115" customFormat="1" ht="14.4">
      <c r="A59" s="2122" t="s">
        <v>2058</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6" t="s">
        <v>2040</v>
      </c>
      <c r="B60" s="1347"/>
      <c r="C60" s="1347" t="s">
        <v>2042</v>
      </c>
      <c r="D60" s="1347" t="s">
        <v>2043</v>
      </c>
      <c r="E60" s="739" t="s">
        <v>2044</v>
      </c>
      <c r="F60" s="2127" t="s">
        <v>2059</v>
      </c>
      <c r="G60" s="1347" t="s">
        <v>310</v>
      </c>
      <c r="H60" s="2128" t="s">
        <v>2046</v>
      </c>
      <c r="I60" s="1347" t="s">
        <v>2047</v>
      </c>
      <c r="J60" s="551" t="s">
        <v>1717</v>
      </c>
      <c r="K60" s="551" t="s">
        <v>1718</v>
      </c>
      <c r="L60" s="551" t="s">
        <v>1719</v>
      </c>
      <c r="M60" s="551" t="s">
        <v>1720</v>
      </c>
      <c r="N60" s="551" t="s">
        <v>1721</v>
      </c>
      <c r="AA60" s="1116"/>
      <c r="AB60" s="1116"/>
      <c r="AC60" s="1116"/>
      <c r="AD60" s="1116"/>
      <c r="AE60" s="1116"/>
      <c r="AF60" s="1116"/>
      <c r="AG60" s="1116"/>
      <c r="AH60" s="1116"/>
      <c r="AI60" s="1116"/>
      <c r="AJ60" s="1116"/>
      <c r="AK60" s="1116"/>
    </row>
    <row r="61" spans="1:37" s="1115" customFormat="1" ht="39.6">
      <c r="A61" s="2126" t="s">
        <v>2060</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3">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52.8">
      <c r="A62" s="2126" t="s">
        <v>2049</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3">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48">
      <c r="A63" s="3365" t="s">
        <v>3271</v>
      </c>
      <c r="B63" s="2130">
        <f>估价对象房地状况!C19</f>
        <v>0</v>
      </c>
      <c r="C63" s="2040"/>
      <c r="D63" s="1061">
        <f t="shared" si="13"/>
        <v>0</v>
      </c>
      <c r="E63" s="741"/>
      <c r="F63" s="1810"/>
      <c r="G63" s="1059"/>
      <c r="H63" s="1062" t="str">
        <f t="shared" si="14"/>
        <v>——</v>
      </c>
      <c r="I63" s="3363">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7.200000000000003">
      <c r="A64" s="2126" t="s">
        <v>2050</v>
      </c>
      <c r="B64" s="2131" t="s">
        <v>2051</v>
      </c>
      <c r="C64" s="2040"/>
      <c r="D64" s="1061">
        <f t="shared" si="13"/>
        <v>0</v>
      </c>
      <c r="E64" s="741"/>
      <c r="F64" s="1810"/>
      <c r="G64" s="1059"/>
      <c r="H64" s="1062" t="str">
        <f t="shared" si="14"/>
        <v>——</v>
      </c>
      <c r="I64" s="3363">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c r="D65" s="1061">
        <f t="shared" si="13"/>
        <v>0</v>
      </c>
      <c r="E65" s="741"/>
      <c r="F65" s="1810"/>
      <c r="G65" s="1059"/>
      <c r="H65" s="1062" t="str">
        <f t="shared" si="14"/>
        <v>——</v>
      </c>
      <c r="I65" s="3363">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36">
      <c r="A66" s="2126" t="s">
        <v>2053</v>
      </c>
      <c r="B66" s="2132" t="s">
        <v>2054</v>
      </c>
      <c r="C66" s="2040"/>
      <c r="D66" s="1061">
        <f t="shared" si="13"/>
        <v>0</v>
      </c>
      <c r="E66" s="741"/>
      <c r="F66" s="1810"/>
      <c r="G66" s="1059"/>
      <c r="H66" s="1062" t="str">
        <f t="shared" si="14"/>
        <v>——</v>
      </c>
      <c r="I66" s="3363">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6.4">
      <c r="A67" s="2126" t="s">
        <v>2055</v>
      </c>
      <c r="B67" s="1322" t="str">
        <f>估价对象房地状况!C21</f>
        <v>估价对象所在区域公共配套设施齐备情况</v>
      </c>
      <c r="C67" s="2040"/>
      <c r="D67" s="1061">
        <f t="shared" si="13"/>
        <v>0</v>
      </c>
      <c r="E67" s="741"/>
      <c r="F67" s="1810"/>
      <c r="G67" s="1059"/>
      <c r="H67" s="1062" t="str">
        <f t="shared" si="14"/>
        <v>——</v>
      </c>
      <c r="I67" s="3363">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6.4">
      <c r="A68" s="2126" t="s">
        <v>2056</v>
      </c>
      <c r="B68" s="1322" t="str">
        <f>估价对象房地状况!C22</f>
        <v>估价对象所在区域基础设施水平</v>
      </c>
      <c r="C68" s="2040"/>
      <c r="D68" s="1061">
        <f t="shared" si="13"/>
        <v>0</v>
      </c>
      <c r="E68" s="741"/>
      <c r="F68" s="1810"/>
      <c r="G68" s="1059"/>
      <c r="H68" s="1062" t="str">
        <f t="shared" si="14"/>
        <v>——</v>
      </c>
      <c r="I68" s="3363">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40.200000000000003" thickBot="1">
      <c r="A69" s="2134" t="s">
        <v>2057</v>
      </c>
      <c r="B69" s="2136" t="str">
        <f>估价对象房地状况!C20</f>
        <v>区域自然环境：；人文环境；综合评价环境状况一般</v>
      </c>
      <c r="C69" s="2040"/>
      <c r="D69" s="1061">
        <f t="shared" si="13"/>
        <v>0</v>
      </c>
      <c r="E69" s="742"/>
      <c r="F69" s="1810"/>
      <c r="G69" s="1059"/>
      <c r="H69" s="1062" t="str">
        <f t="shared" si="14"/>
        <v>——</v>
      </c>
      <c r="I69" s="3364">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4.4">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6" t="s">
        <v>2040</v>
      </c>
      <c r="B71" s="1347"/>
      <c r="C71" s="1347" t="s">
        <v>2042</v>
      </c>
      <c r="D71" s="1347" t="s">
        <v>2043</v>
      </c>
      <c r="E71" s="739" t="s">
        <v>2044</v>
      </c>
      <c r="F71" s="2127" t="s">
        <v>2059</v>
      </c>
      <c r="G71" s="1347" t="s">
        <v>310</v>
      </c>
      <c r="H71" s="2128" t="s">
        <v>2046</v>
      </c>
      <c r="I71" s="1347" t="s">
        <v>2047</v>
      </c>
      <c r="J71" s="551" t="s">
        <v>1717</v>
      </c>
      <c r="K71" s="551" t="s">
        <v>1718</v>
      </c>
      <c r="L71" s="551" t="s">
        <v>1719</v>
      </c>
      <c r="M71" s="551" t="s">
        <v>1720</v>
      </c>
      <c r="N71" s="551" t="s">
        <v>1721</v>
      </c>
      <c r="AA71" s="1116"/>
      <c r="AB71" s="1116"/>
      <c r="AC71" s="1116"/>
      <c r="AD71" s="1116"/>
      <c r="AE71" s="1116"/>
      <c r="AF71" s="1116"/>
      <c r="AG71" s="1116"/>
      <c r="AH71" s="1116"/>
      <c r="AI71" s="1116"/>
      <c r="AJ71" s="1116"/>
      <c r="AK71" s="1116"/>
    </row>
    <row r="72" spans="1:37" s="1115" customFormat="1" ht="52.8">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52.8">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48">
      <c r="A74" s="3365" t="s">
        <v>3271</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3.8">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6.4">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6.4">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36">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39.6">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36.6"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4.4">
      <c r="A81" s="2122" t="s">
        <v>2065</v>
      </c>
      <c r="B81" s="2123">
        <f>1+E83</f>
        <v>1</v>
      </c>
      <c r="C81" s="737"/>
      <c r="D81" s="737"/>
      <c r="E81" s="738"/>
      <c r="F81" s="2125"/>
      <c r="G81" s="3"/>
      <c r="H81" s="3"/>
      <c r="I81" s="3"/>
      <c r="J81" s="4"/>
      <c r="K81" s="4"/>
      <c r="L81" s="4"/>
      <c r="M81" s="4"/>
      <c r="N81" s="4"/>
      <c r="Z81" s="1994"/>
      <c r="AA81" s="2049"/>
      <c r="AG81" s="1117"/>
      <c r="AK81" s="2049"/>
    </row>
    <row r="82" spans="1:37" ht="25.2">
      <c r="A82" s="2126" t="s">
        <v>2040</v>
      </c>
      <c r="B82" s="1347"/>
      <c r="C82" s="1347" t="s">
        <v>2042</v>
      </c>
      <c r="D82" s="1347" t="s">
        <v>2043</v>
      </c>
      <c r="E82" s="739" t="s">
        <v>2044</v>
      </c>
      <c r="F82" s="2127" t="s">
        <v>2059</v>
      </c>
      <c r="G82" s="1347" t="s">
        <v>310</v>
      </c>
      <c r="H82" s="2128" t="s">
        <v>2046</v>
      </c>
      <c r="I82" s="1347" t="s">
        <v>2047</v>
      </c>
      <c r="J82" s="551" t="s">
        <v>1717</v>
      </c>
      <c r="K82" s="551" t="s">
        <v>1718</v>
      </c>
      <c r="L82" s="551" t="s">
        <v>1719</v>
      </c>
      <c r="M82" s="551" t="s">
        <v>1720</v>
      </c>
      <c r="N82" s="551" t="s">
        <v>1721</v>
      </c>
      <c r="Z82" s="1994"/>
      <c r="AA82" s="2049"/>
      <c r="AG82" s="1117"/>
      <c r="AK82" s="2049"/>
    </row>
    <row r="83" spans="1:37" ht="39.6">
      <c r="A83" s="2126" t="s">
        <v>2066</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3">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52.8">
      <c r="A84" s="2126" t="s">
        <v>2049</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3">
        <v>0.3</v>
      </c>
      <c r="J84" s="1060">
        <f t="shared" si="25"/>
        <v>0</v>
      </c>
      <c r="K84" s="1060">
        <f t="shared" si="26"/>
        <v>0</v>
      </c>
      <c r="L84" s="1060">
        <v>0</v>
      </c>
      <c r="M84" s="1060">
        <f t="shared" si="27"/>
        <v>0</v>
      </c>
      <c r="N84" s="1060">
        <f t="shared" si="27"/>
        <v>0</v>
      </c>
      <c r="Z84" s="1994"/>
      <c r="AA84" s="2049"/>
      <c r="AG84" s="1117"/>
      <c r="AK84" s="2049"/>
    </row>
    <row r="85" spans="1:37" ht="48">
      <c r="A85" s="3365" t="s">
        <v>3272</v>
      </c>
      <c r="B85" s="2130">
        <f>估价对象房地状况!G17</f>
        <v>0</v>
      </c>
      <c r="C85" s="2040"/>
      <c r="D85" s="1061">
        <f t="shared" si="23"/>
        <v>0</v>
      </c>
      <c r="E85" s="743"/>
      <c r="F85" s="1810"/>
      <c r="G85" s="1059"/>
      <c r="H85" s="1062" t="str">
        <f t="shared" si="24"/>
        <v>——</v>
      </c>
      <c r="I85" s="3363">
        <v>0.1</v>
      </c>
      <c r="J85" s="1060">
        <f t="shared" si="25"/>
        <v>0</v>
      </c>
      <c r="K85" s="1060">
        <f t="shared" si="26"/>
        <v>0</v>
      </c>
      <c r="L85" s="1060">
        <v>0</v>
      </c>
      <c r="M85" s="1060">
        <f t="shared" si="27"/>
        <v>0</v>
      </c>
      <c r="N85" s="1060">
        <f t="shared" si="27"/>
        <v>0</v>
      </c>
      <c r="Z85" s="1994"/>
      <c r="AA85" s="2049"/>
      <c r="AG85" s="1117"/>
      <c r="AK85" s="2049"/>
    </row>
    <row r="86" spans="1:37" ht="13.8">
      <c r="A86" s="2126" t="s">
        <v>2063</v>
      </c>
      <c r="B86" s="2130">
        <f>估价对象房地状况!G22</f>
        <v>0</v>
      </c>
      <c r="C86" s="2040"/>
      <c r="D86" s="1061">
        <f t="shared" si="23"/>
        <v>0</v>
      </c>
      <c r="E86" s="743"/>
      <c r="F86" s="1810"/>
      <c r="G86" s="1059"/>
      <c r="H86" s="1062" t="str">
        <f t="shared" si="24"/>
        <v>——</v>
      </c>
      <c r="I86" s="3363">
        <v>0.05</v>
      </c>
      <c r="J86" s="1060">
        <f t="shared" si="25"/>
        <v>0</v>
      </c>
      <c r="K86" s="1060">
        <f t="shared" si="26"/>
        <v>0</v>
      </c>
      <c r="L86" s="1060">
        <v>0</v>
      </c>
      <c r="M86" s="1060">
        <f t="shared" si="27"/>
        <v>0</v>
      </c>
      <c r="N86" s="1060">
        <f t="shared" si="27"/>
        <v>0</v>
      </c>
      <c r="Z86" s="1994"/>
      <c r="AA86" s="2049"/>
      <c r="AG86" s="1117"/>
      <c r="AK86" s="2049"/>
    </row>
    <row r="87" spans="1:37" ht="26.4">
      <c r="A87" s="2126" t="s">
        <v>2055</v>
      </c>
      <c r="B87" s="1322" t="str">
        <f>估价对象房地状况!G19</f>
        <v>估价对象所在区域公共配套设施齐备情况</v>
      </c>
      <c r="C87" s="2040"/>
      <c r="D87" s="1061">
        <f t="shared" si="23"/>
        <v>0</v>
      </c>
      <c r="E87" s="743"/>
      <c r="F87" s="1810"/>
      <c r="G87" s="1059"/>
      <c r="H87" s="1062" t="str">
        <f t="shared" si="24"/>
        <v>——</v>
      </c>
      <c r="I87" s="3363">
        <v>0.06</v>
      </c>
      <c r="J87" s="1060">
        <f t="shared" si="25"/>
        <v>0</v>
      </c>
      <c r="K87" s="1060">
        <f t="shared" si="26"/>
        <v>0</v>
      </c>
      <c r="L87" s="1060">
        <v>0</v>
      </c>
      <c r="M87" s="1060">
        <f t="shared" si="27"/>
        <v>0</v>
      </c>
      <c r="N87" s="1060">
        <f t="shared" si="27"/>
        <v>0</v>
      </c>
    </row>
    <row r="88" spans="1:37" ht="26.4">
      <c r="A88" s="2126" t="s">
        <v>2056</v>
      </c>
      <c r="B88" s="1322" t="str">
        <f>估价对象房地状况!G20</f>
        <v>估价对象所在区域基础设施水平</v>
      </c>
      <c r="C88" s="2040"/>
      <c r="D88" s="1061">
        <f t="shared" si="23"/>
        <v>0</v>
      </c>
      <c r="E88" s="743"/>
      <c r="F88" s="1810"/>
      <c r="G88" s="1059"/>
      <c r="H88" s="1062" t="str">
        <f t="shared" si="24"/>
        <v>——</v>
      </c>
      <c r="I88" s="3363">
        <v>0.12</v>
      </c>
      <c r="J88" s="1060">
        <f t="shared" si="25"/>
        <v>0</v>
      </c>
      <c r="K88" s="1060">
        <f t="shared" si="26"/>
        <v>0</v>
      </c>
      <c r="L88" s="1060">
        <v>0</v>
      </c>
      <c r="M88" s="1060">
        <f t="shared" si="27"/>
        <v>0</v>
      </c>
      <c r="N88" s="1060">
        <f t="shared" si="27"/>
        <v>0</v>
      </c>
    </row>
    <row r="89" spans="1:37" ht="36">
      <c r="A89" s="2126" t="s">
        <v>2053</v>
      </c>
      <c r="B89" s="2132" t="s">
        <v>2067</v>
      </c>
      <c r="C89" s="2040"/>
      <c r="D89" s="1061">
        <f t="shared" si="23"/>
        <v>0</v>
      </c>
      <c r="E89" s="743"/>
      <c r="F89" s="1810"/>
      <c r="G89" s="1059"/>
      <c r="H89" s="1062" t="str">
        <f t="shared" si="24"/>
        <v>——</v>
      </c>
      <c r="I89" s="3363">
        <v>0.06</v>
      </c>
      <c r="J89" s="1060">
        <f t="shared" si="25"/>
        <v>0</v>
      </c>
      <c r="K89" s="1060">
        <f t="shared" si="26"/>
        <v>0</v>
      </c>
      <c r="L89" s="1060">
        <v>0</v>
      </c>
      <c r="M89" s="1060">
        <f t="shared" si="27"/>
        <v>0</v>
      </c>
      <c r="N89" s="1060">
        <f t="shared" si="27"/>
        <v>0</v>
      </c>
    </row>
    <row r="90" spans="1:37" ht="40.200000000000003" thickBot="1">
      <c r="A90" s="2134" t="s">
        <v>2068</v>
      </c>
      <c r="B90" s="2139" t="str">
        <f>估价对象房地状况!G18</f>
        <v>该园区内是否有污染型企业，绿化情况，卫生条件，整体环境状况判断</v>
      </c>
      <c r="C90" s="2040"/>
      <c r="D90" s="1061">
        <f t="shared" si="23"/>
        <v>0</v>
      </c>
      <c r="E90" s="744"/>
      <c r="F90" s="1810"/>
      <c r="G90" s="1059"/>
      <c r="H90" s="1062" t="str">
        <f t="shared" si="24"/>
        <v>——</v>
      </c>
      <c r="I90" s="3364">
        <v>0.05</v>
      </c>
      <c r="J90" s="1060">
        <f t="shared" si="25"/>
        <v>0</v>
      </c>
      <c r="K90" s="1060">
        <f t="shared" si="26"/>
        <v>0</v>
      </c>
      <c r="L90" s="1060">
        <v>0</v>
      </c>
      <c r="M90" s="1060">
        <f t="shared" si="27"/>
        <v>0</v>
      </c>
      <c r="N90" s="1060">
        <f t="shared" si="27"/>
        <v>0</v>
      </c>
    </row>
    <row r="91" spans="1:37" ht="13.8">
      <c r="A91" s="3373" t="s">
        <v>2610</v>
      </c>
      <c r="B91" s="3374">
        <f>1+E93</f>
        <v>1</v>
      </c>
      <c r="C91" s="3367"/>
      <c r="D91" s="3368"/>
      <c r="E91" s="1810"/>
      <c r="F91" s="1810"/>
      <c r="G91" s="3369"/>
      <c r="H91" s="3370"/>
      <c r="I91" s="3371"/>
      <c r="J91" s="3372"/>
      <c r="K91" s="3372"/>
      <c r="L91" s="3372"/>
      <c r="M91" s="3372"/>
      <c r="N91" s="3372"/>
    </row>
    <row r="92" spans="1:37" ht="25.2">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52.8">
      <c r="A94" s="3375" t="s">
        <v>3275</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48">
      <c r="A95" s="3365" t="s">
        <v>3271</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7.200000000000003">
      <c r="A96" s="3375" t="s">
        <v>3276</v>
      </c>
      <c r="B96" s="3381" t="s">
        <v>3287</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3277</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36">
      <c r="A98" s="3375" t="s">
        <v>3278</v>
      </c>
      <c r="B98" s="3382" t="s">
        <v>3288</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6.4">
      <c r="A99" s="3375" t="s">
        <v>3279</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6.4">
      <c r="A100" s="3375" t="s">
        <v>3280</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40.200000000000003" thickBot="1">
      <c r="A101" s="3376" t="s">
        <v>3281</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90" t="s">
        <v>3296</v>
      </c>
      <c r="B103" s="3790"/>
      <c r="C103" s="3790"/>
      <c r="D103" s="3790"/>
      <c r="E103" s="3790"/>
      <c r="F103" s="3790"/>
      <c r="G103" s="3790"/>
      <c r="H103" s="3790"/>
      <c r="I103" s="3790"/>
      <c r="J103" s="3790"/>
      <c r="K103" s="3386"/>
      <c r="L103" s="3386"/>
      <c r="M103" s="3386"/>
      <c r="N103" s="3386"/>
    </row>
    <row r="104" spans="1:14">
      <c r="A104" s="3791" t="s">
        <v>3297</v>
      </c>
      <c r="B104" s="3791" t="s">
        <v>3298</v>
      </c>
      <c r="C104" s="3387" t="s">
        <v>3299</v>
      </c>
      <c r="D104" s="3388"/>
      <c r="E104" s="3388"/>
      <c r="F104" s="3388"/>
      <c r="G104" s="3388"/>
      <c r="H104" s="3388"/>
      <c r="I104" s="3388"/>
      <c r="J104" s="3389"/>
      <c r="K104" s="3390"/>
      <c r="L104" s="3390"/>
      <c r="M104" s="3390"/>
      <c r="N104" s="3390"/>
    </row>
    <row r="105" spans="1:14">
      <c r="A105" s="3791"/>
      <c r="B105" s="3791"/>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77"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7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7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7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7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78"/>
      <c r="B111" s="3391" t="s">
        <v>3270</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79"/>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80" t="s">
        <v>3313</v>
      </c>
      <c r="B113" s="3780"/>
      <c r="C113" s="3780"/>
      <c r="D113" s="3780"/>
      <c r="E113" s="3780"/>
      <c r="F113" s="3780"/>
      <c r="G113" s="3780"/>
      <c r="H113" s="3780"/>
      <c r="I113" s="3780"/>
      <c r="J113" s="378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3314</v>
      </c>
      <c r="B116" s="3412">
        <f>G3</f>
        <v>5.07</v>
      </c>
      <c r="C116" s="3396" t="s">
        <v>3315</v>
      </c>
      <c r="D116" s="3397">
        <f>SUMPRODUCT((A118:A122=F116)*(B117:M117=H116)*B118:M122)</f>
        <v>0.878</v>
      </c>
      <c r="E116" s="1996" t="s">
        <v>3316</v>
      </c>
      <c r="F116" s="3398" t="str">
        <f>E2</f>
        <v>商业</v>
      </c>
      <c r="G116" s="1996" t="s">
        <v>3317</v>
      </c>
      <c r="H116" s="3398" t="str">
        <f>G2</f>
        <v>五级</v>
      </c>
      <c r="I116" s="1996"/>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0.94099999999999995</v>
      </c>
      <c r="C118" s="3384">
        <f>B118</f>
        <v>0.94099999999999995</v>
      </c>
      <c r="D118" s="3384">
        <f>ROUND(0.949-0.014*B116,4)</f>
        <v>0.878</v>
      </c>
      <c r="E118" s="3384">
        <f>D118</f>
        <v>0.878</v>
      </c>
      <c r="F118" s="3384">
        <f>E118</f>
        <v>0.878</v>
      </c>
      <c r="G118" s="3384">
        <f>F118</f>
        <v>0.878</v>
      </c>
      <c r="H118" s="3384">
        <f>G118</f>
        <v>0.878</v>
      </c>
      <c r="I118" s="3384">
        <f>ROUND(0.8486-0.018*B116,4)</f>
        <v>0.75729999999999997</v>
      </c>
      <c r="J118" s="3384">
        <f t="shared" ref="J118:M122" si="36">I118</f>
        <v>0.75729999999999997</v>
      </c>
      <c r="K118" s="3384">
        <f t="shared" si="36"/>
        <v>0.75729999999999997</v>
      </c>
      <c r="L118" s="3384">
        <f t="shared" si="36"/>
        <v>0.75729999999999997</v>
      </c>
      <c r="M118" s="3407">
        <f t="shared" si="36"/>
        <v>0.75729999999999997</v>
      </c>
      <c r="N118" s="3394"/>
    </row>
    <row r="119" spans="1:14">
      <c r="A119" s="3406" t="s">
        <v>3331</v>
      </c>
      <c r="B119" s="3384">
        <f>ROUND(0.993-0.0112*B116,4)</f>
        <v>0.93620000000000003</v>
      </c>
      <c r="C119" s="3384">
        <f>B119</f>
        <v>0.93620000000000003</v>
      </c>
      <c r="D119" s="3384">
        <f>ROUND(0.9415-0.0142*B116,4)</f>
        <v>0.86950000000000005</v>
      </c>
      <c r="E119" s="3384">
        <f t="shared" ref="E119:H120" si="37">D119</f>
        <v>0.86950000000000005</v>
      </c>
      <c r="F119" s="3384">
        <f t="shared" si="37"/>
        <v>0.86950000000000005</v>
      </c>
      <c r="G119" s="3384">
        <f t="shared" si="37"/>
        <v>0.86950000000000005</v>
      </c>
      <c r="H119" s="3384">
        <f t="shared" si="37"/>
        <v>0.86950000000000005</v>
      </c>
      <c r="I119" s="3384">
        <f>ROUND(0.838-0.0182*B116,4)</f>
        <v>0.74570000000000003</v>
      </c>
      <c r="J119" s="3384">
        <f t="shared" si="36"/>
        <v>0.74570000000000003</v>
      </c>
      <c r="K119" s="3384">
        <f t="shared" si="36"/>
        <v>0.74570000000000003</v>
      </c>
      <c r="L119" s="3384">
        <f t="shared" si="36"/>
        <v>0.74570000000000003</v>
      </c>
      <c r="M119" s="3407">
        <f t="shared" si="36"/>
        <v>0.74570000000000003</v>
      </c>
      <c r="N119" s="3394"/>
    </row>
    <row r="120" spans="1:14">
      <c r="A120" s="3406" t="s">
        <v>3332</v>
      </c>
      <c r="B120" s="3384">
        <f>ROUND(0.9448-0.0115*B116,4)</f>
        <v>0.88649999999999995</v>
      </c>
      <c r="C120" s="3384">
        <f>B120</f>
        <v>0.88649999999999995</v>
      </c>
      <c r="D120" s="3384">
        <f>ROUND(0.937-0.0145*B116,4)</f>
        <v>0.86350000000000005</v>
      </c>
      <c r="E120" s="3384">
        <f t="shared" si="37"/>
        <v>0.86350000000000005</v>
      </c>
      <c r="F120" s="3384">
        <f t="shared" si="37"/>
        <v>0.86350000000000005</v>
      </c>
      <c r="G120" s="3384">
        <f t="shared" si="37"/>
        <v>0.86350000000000005</v>
      </c>
      <c r="H120" s="3384">
        <f t="shared" si="37"/>
        <v>0.86350000000000005</v>
      </c>
      <c r="I120" s="3384">
        <f>ROUND(0.7965-0.0185*B116,4)</f>
        <v>0.70269999999999999</v>
      </c>
      <c r="J120" s="3384">
        <f t="shared" si="36"/>
        <v>0.70269999999999999</v>
      </c>
      <c r="K120" s="3384">
        <f t="shared" si="36"/>
        <v>0.70269999999999999</v>
      </c>
      <c r="L120" s="3384">
        <f t="shared" si="36"/>
        <v>0.70269999999999999</v>
      </c>
      <c r="M120" s="3407">
        <f t="shared" si="36"/>
        <v>0.70269999999999999</v>
      </c>
      <c r="N120" s="3394"/>
    </row>
    <row r="121" spans="1:14" ht="13.8" thickBot="1">
      <c r="A121" s="3408" t="s">
        <v>3333</v>
      </c>
      <c r="B121" s="3409">
        <f>ROUND(0.7836-0.012*B116,4)</f>
        <v>0.7228</v>
      </c>
      <c r="C121" s="3409">
        <f>B121</f>
        <v>0.7228</v>
      </c>
      <c r="D121" s="3409">
        <f>ROUND(0.753-0.015*B116,4)</f>
        <v>0.67700000000000005</v>
      </c>
      <c r="E121" s="3409">
        <f>D121</f>
        <v>0.67700000000000005</v>
      </c>
      <c r="F121" s="3409">
        <f>E121</f>
        <v>0.67700000000000005</v>
      </c>
      <c r="G121" s="3409">
        <f>ROUND(0.6612-0.018*B116,4)</f>
        <v>0.56989999999999996</v>
      </c>
      <c r="H121" s="3409">
        <f>G121</f>
        <v>0.56989999999999996</v>
      </c>
      <c r="I121" s="3409">
        <f>ROUND(0.5905-0.019*B116,4)</f>
        <v>0.49419999999999997</v>
      </c>
      <c r="J121" s="3409">
        <f t="shared" si="36"/>
        <v>0.49419999999999997</v>
      </c>
      <c r="K121" s="3409">
        <f t="shared" si="36"/>
        <v>0.49419999999999997</v>
      </c>
      <c r="L121" s="3409">
        <f t="shared" si="36"/>
        <v>0.49419999999999997</v>
      </c>
      <c r="M121" s="3410">
        <f t="shared" si="36"/>
        <v>0.49419999999999997</v>
      </c>
      <c r="N121" s="3394"/>
    </row>
    <row r="122" spans="1:14">
      <c r="A122" s="3411" t="s">
        <v>2610</v>
      </c>
      <c r="B122" s="3384">
        <f>ROUND(0.9404-0.0106*B116,4)</f>
        <v>0.88670000000000004</v>
      </c>
      <c r="C122" s="3384">
        <f>B122</f>
        <v>0.88670000000000004</v>
      </c>
      <c r="D122" s="3384">
        <f>ROUND(0.8955-0.0135*B116,4)</f>
        <v>0.82709999999999995</v>
      </c>
      <c r="E122" s="3384">
        <f t="shared" ref="E122:H122" si="38">D122</f>
        <v>0.82709999999999995</v>
      </c>
      <c r="F122" s="3384">
        <f t="shared" si="38"/>
        <v>0.82709999999999995</v>
      </c>
      <c r="G122" s="3384">
        <f t="shared" si="38"/>
        <v>0.82709999999999995</v>
      </c>
      <c r="H122" s="3384">
        <f t="shared" si="38"/>
        <v>0.82709999999999995</v>
      </c>
      <c r="I122" s="3384">
        <f>ROUND(0.7632-0.0166*B116,4)</f>
        <v>0.67900000000000005</v>
      </c>
      <c r="J122" s="3384">
        <f t="shared" si="36"/>
        <v>0.67900000000000005</v>
      </c>
      <c r="K122" s="3384">
        <f t="shared" si="36"/>
        <v>0.67900000000000005</v>
      </c>
      <c r="L122" s="3384">
        <f t="shared" si="36"/>
        <v>0.67900000000000005</v>
      </c>
      <c r="M122" s="3407">
        <f t="shared" si="36"/>
        <v>0.67900000000000005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1" priority="6" stopIfTrue="1" operator="notEqual">
      <formula>"——"</formula>
    </cfRule>
  </conditionalFormatting>
  <conditionalFormatting sqref="F61">
    <cfRule type="cellIs" dxfId="210" priority="5" stopIfTrue="1" operator="notEqual">
      <formula>"——"</formula>
    </cfRule>
  </conditionalFormatting>
  <conditionalFormatting sqref="F72">
    <cfRule type="cellIs" dxfId="209" priority="4" stopIfTrue="1" operator="notEqual">
      <formula>"——"</formula>
    </cfRule>
  </conditionalFormatting>
  <conditionalFormatting sqref="F83">
    <cfRule type="cellIs" dxfId="208" priority="3" stopIfTrue="1" operator="notEqual">
      <formula>"——"</formula>
    </cfRule>
  </conditionalFormatting>
  <conditionalFormatting sqref="H50:H58 H61:H69 H72:H80 H83:H91">
    <cfRule type="cellIs" dxfId="207" priority="2" operator="notEqual">
      <formula>"——"</formula>
    </cfRule>
  </conditionalFormatting>
  <conditionalFormatting sqref="H93:H101">
    <cfRule type="cellIs" dxfId="20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66" sqref="B66"/>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1457</v>
      </c>
      <c r="B1" s="1466" t="s">
        <v>3397</v>
      </c>
      <c r="C1" s="197"/>
      <c r="D1" s="197"/>
      <c r="E1" s="197"/>
      <c r="F1" s="197"/>
      <c r="G1" s="1122">
        <f>MATCH(B1,'数据-取费表'!A6:A16,0)+5</f>
        <v>6</v>
      </c>
    </row>
    <row r="2" spans="1:9" s="199" customFormat="1" ht="18" customHeight="1">
      <c r="A2" s="200" t="s">
        <v>1458</v>
      </c>
      <c r="B2" s="201">
        <f ca="1">IF(D2="——",C52,C52-E2)</f>
        <v>73824</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37228</v>
      </c>
      <c r="C3" s="198" t="s">
        <v>1461</v>
      </c>
      <c r="D3" s="198"/>
      <c r="E3" s="198"/>
      <c r="F3" s="198"/>
      <c r="G3" s="198"/>
    </row>
    <row r="4" spans="1:9" s="207" customFormat="1" ht="16.2">
      <c r="A4" s="204" t="s">
        <v>1462</v>
      </c>
      <c r="B4" s="205"/>
      <c r="C4" s="205"/>
      <c r="D4" s="205"/>
      <c r="E4" s="205"/>
      <c r="F4" s="205"/>
      <c r="G4" s="206"/>
    </row>
    <row r="5" spans="1:9" s="213" customFormat="1" ht="13.5" customHeight="1">
      <c r="A5" s="254" t="s">
        <v>1463</v>
      </c>
      <c r="B5" s="209" t="s">
        <v>1464</v>
      </c>
      <c r="C5" s="210">
        <f ca="1">C6+C7+C8</f>
        <v>38430</v>
      </c>
      <c r="D5" s="210" t="s">
        <v>1465</v>
      </c>
      <c r="E5" s="211" t="s">
        <v>1466</v>
      </c>
      <c r="F5" s="211" t="s">
        <v>1467</v>
      </c>
      <c r="G5" s="212"/>
    </row>
    <row r="6" spans="1:9" s="213" customFormat="1" ht="13.5" customHeight="1">
      <c r="A6" s="774" t="s">
        <v>1468</v>
      </c>
      <c r="B6" s="214" t="s">
        <v>1469</v>
      </c>
      <c r="C6" s="215">
        <f>基准地价修正!V2+基准地价修正!V3</f>
        <v>36907</v>
      </c>
      <c r="D6" s="216"/>
      <c r="E6" s="217"/>
      <c r="F6" s="217"/>
      <c r="G6" s="218"/>
    </row>
    <row r="7" spans="1:9" s="213" customFormat="1" ht="13.5" customHeight="1">
      <c r="A7" s="774" t="s">
        <v>1470</v>
      </c>
      <c r="B7" s="214" t="s">
        <v>1471</v>
      </c>
      <c r="C7" s="219">
        <f>ROUND(C6*F7,0)</f>
        <v>1126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397</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397</v>
      </c>
      <c r="D10" s="841">
        <f ca="1">IF(B1="",'数据-汇总表'!E6,IF(INDIRECT("'数据-取费表'!c"&amp;$G$1)="住宅",INDIRECT("'数据-取费表'!s"&amp;$G$1),INDIRECT("'数据-取费表'!k"&amp;$G$1)+INDIRECT("'数据-取费表'!s"&amp;$G$1)))</f>
        <v>19830.27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1480</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1480</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19830.27</v>
      </c>
      <c r="E19" s="210">
        <f>'数据-取费表'!B31</f>
        <v>200</v>
      </c>
      <c r="F19" s="230"/>
      <c r="G19" s="1852" t="s">
        <v>3435</v>
      </c>
    </row>
    <row r="20" spans="1:7" s="213" customFormat="1" ht="13.5" customHeight="1">
      <c r="A20" s="254" t="s">
        <v>1489</v>
      </c>
      <c r="B20" s="209" t="s">
        <v>1490</v>
      </c>
      <c r="C20" s="231">
        <f ca="1">ROUND((C5+C19)*F20,0)</f>
        <v>1153</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5059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1498</v>
      </c>
      <c r="B23" s="214" t="s">
        <v>1499</v>
      </c>
      <c r="C23" s="1101">
        <f ca="1">ROUND(IF('数据-取费表'!B22&lt;=1,C5*F22*'数据-取费表'!B23,C5*(POWER((1+F22),'数据-取费表'!B23)-1)),0)</f>
        <v>4986</v>
      </c>
      <c r="D23" s="237"/>
      <c r="E23" s="237"/>
      <c r="F23" s="238"/>
      <c r="G23" s="239" t="s">
        <v>1500</v>
      </c>
    </row>
    <row r="24" spans="1:7" s="213" customFormat="1" ht="13.5" customHeight="1">
      <c r="A24" s="776" t="s">
        <v>1501</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1504</v>
      </c>
      <c r="B25" s="214" t="s">
        <v>1505</v>
      </c>
      <c r="C25" s="1101">
        <f ca="1">ROUND(IF('数据-取费表'!B22&lt;=1,C20*F22*'数据-取费表'!B23/2,C20*(POWER((1+F22),'数据-取费表'!B23/2)-1)),0)</f>
        <v>73</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6.4">
      <c r="A27" s="254" t="s">
        <v>1508</v>
      </c>
      <c r="B27" s="243" t="s">
        <v>1509</v>
      </c>
      <c r="C27" s="244">
        <f ca="1">C28</f>
        <v>7917</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7917</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57833</v>
      </c>
      <c r="D31" s="229"/>
      <c r="E31" s="210"/>
      <c r="F31" s="249"/>
      <c r="G31" s="233" t="s">
        <v>1518</v>
      </c>
    </row>
    <row r="32" spans="1:7" s="207" customFormat="1" ht="16.2">
      <c r="A32" s="251" t="s">
        <v>1519</v>
      </c>
      <c r="B32" s="252"/>
      <c r="C32" s="252"/>
      <c r="D32" s="252"/>
      <c r="E32" s="252"/>
      <c r="F32" s="252"/>
      <c r="G32" s="253"/>
    </row>
    <row r="33" spans="1:7" s="213" customFormat="1" ht="13.5" customHeight="1">
      <c r="A33" s="254" t="s">
        <v>337</v>
      </c>
      <c r="B33" s="209" t="s">
        <v>1520</v>
      </c>
      <c r="C33" s="255">
        <f ca="1">SUM(C34:C38)</f>
        <v>12013</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10907</v>
      </c>
      <c r="D34" s="216"/>
      <c r="E34" s="219"/>
      <c r="F34" s="256">
        <f ca="1">IF('数据-取费表'!B24=0,1,IF(B1="",'数据-取费表'!N16,INDIRECT("'数据-取费表'!n"&amp;$G$1)))</f>
        <v>1</v>
      </c>
      <c r="G34" s="218" t="s">
        <v>1522</v>
      </c>
    </row>
    <row r="35" spans="1:7" ht="13.5" customHeight="1">
      <c r="A35" s="776" t="s">
        <v>351</v>
      </c>
      <c r="B35" s="214" t="s">
        <v>1523</v>
      </c>
      <c r="C35" s="219">
        <f ca="1">ROUND(C34*F35,0)</f>
        <v>545</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397</v>
      </c>
      <c r="D37" s="216">
        <f ca="1">D19</f>
        <v>19830.27</v>
      </c>
      <c r="E37" s="248">
        <f>'数据-取费表'!B35</f>
        <v>200</v>
      </c>
      <c r="F37" s="258"/>
      <c r="G37" s="260" t="s">
        <v>1528</v>
      </c>
    </row>
    <row r="38" spans="1:7" ht="13.5" customHeight="1">
      <c r="A38" s="776" t="s">
        <v>354</v>
      </c>
      <c r="B38" s="214" t="s">
        <v>1529</v>
      </c>
      <c r="C38" s="219">
        <f ca="1">ROUND(C34*F38,0)</f>
        <v>164</v>
      </c>
      <c r="D38" s="219"/>
      <c r="E38" s="219"/>
      <c r="F38" s="258">
        <f>'数据-取费表'!B36</f>
        <v>1.4999999999999999E-2</v>
      </c>
      <c r="G38" s="218" t="s">
        <v>1524</v>
      </c>
    </row>
    <row r="39" spans="1:7" s="213" customFormat="1" ht="13.5" customHeight="1">
      <c r="A39" s="254" t="s">
        <v>1530</v>
      </c>
      <c r="B39" s="209" t="s">
        <v>1531</v>
      </c>
      <c r="C39" s="231">
        <f ca="1">ROUND(C33*F20,0)</f>
        <v>360</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779</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756</v>
      </c>
      <c r="D42" s="237"/>
      <c r="E42" s="237"/>
      <c r="F42" s="238"/>
      <c r="G42" s="3796" t="s">
        <v>1540</v>
      </c>
    </row>
    <row r="43" spans="1:7" ht="13.5" customHeight="1">
      <c r="A43" s="776" t="s">
        <v>347</v>
      </c>
      <c r="B43" s="214" t="s">
        <v>1541</v>
      </c>
      <c r="C43" s="237">
        <f ca="1">ROUND(IF('数据-取费表'!B22&lt;=1,C39*F22*'数据-取费表'!B21/2,C39*(POWER((1+F22),'数据-取费表'!B21/2)-1)),0)</f>
        <v>23</v>
      </c>
      <c r="D43" s="237"/>
      <c r="E43" s="237"/>
      <c r="F43" s="238"/>
      <c r="G43" s="3797"/>
    </row>
    <row r="44" spans="1:7" ht="13.5" customHeight="1">
      <c r="A44" s="776" t="s">
        <v>348</v>
      </c>
      <c r="B44" s="214" t="s">
        <v>1542</v>
      </c>
      <c r="C44" s="237">
        <f ca="1">ROUND(IF('数据-取费表'!B22&lt;=1,C40*F22*'数据-取费表'!B21/2,C40*(POWER((1+F22),'数据-取费表'!B21/2)-1)),4)</f>
        <v>1.9E-3</v>
      </c>
      <c r="D44" s="237"/>
      <c r="E44" s="237"/>
      <c r="F44" s="238"/>
      <c r="G44" s="3798"/>
    </row>
    <row r="45" spans="1:7" s="213" customFormat="1" ht="13.5" customHeight="1">
      <c r="A45" s="254" t="s">
        <v>1543</v>
      </c>
      <c r="B45" s="243" t="s">
        <v>1509</v>
      </c>
      <c r="C45" s="244">
        <f ca="1">C46</f>
        <v>2475</v>
      </c>
      <c r="D45" s="234">
        <f ca="1">C47</f>
        <v>6.0000000000000001E-3</v>
      </c>
      <c r="E45" s="235" t="s">
        <v>1535</v>
      </c>
      <c r="F45" s="245">
        <f ca="1">F27</f>
        <v>0.2</v>
      </c>
      <c r="G45" s="246" t="s">
        <v>1544</v>
      </c>
    </row>
    <row r="46" spans="1:7" s="213" customFormat="1" ht="13.5" customHeight="1">
      <c r="A46" s="776" t="s">
        <v>346</v>
      </c>
      <c r="B46" s="247" t="s">
        <v>1545</v>
      </c>
      <c r="C46" s="248">
        <f ca="1">ROUND((C33+C39)*F27,0)</f>
        <v>2475</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17195</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15991</v>
      </c>
      <c r="D51" s="231"/>
      <c r="E51" s="231"/>
      <c r="F51" s="263"/>
      <c r="G51" s="233" t="s">
        <v>1556</v>
      </c>
    </row>
    <row r="52" spans="1:7" s="207" customFormat="1" ht="16.8" thickBot="1">
      <c r="A52" s="264" t="s">
        <v>1557</v>
      </c>
      <c r="B52" s="265"/>
      <c r="C52" s="266">
        <f ca="1">C31+C51</f>
        <v>73824</v>
      </c>
      <c r="D52" s="265"/>
      <c r="E52" s="265"/>
      <c r="F52" s="265"/>
      <c r="G52" s="267"/>
    </row>
    <row r="55" spans="1:7" ht="15">
      <c r="B55" s="269" t="s">
        <v>1558</v>
      </c>
      <c r="C55" s="270"/>
    </row>
    <row r="56" spans="1:7">
      <c r="B56" s="272" t="s">
        <v>798</v>
      </c>
      <c r="C56" s="274">
        <f ca="1">1-C57</f>
        <v>0.78300000000000003</v>
      </c>
    </row>
    <row r="57" spans="1:7">
      <c r="B57" s="272" t="s">
        <v>799</v>
      </c>
      <c r="C57" s="273">
        <f ca="1">ROUND(C51/C52,3)</f>
        <v>0.217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34" sqref="I34"/>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1457</v>
      </c>
      <c r="B1" s="1466"/>
      <c r="C1" s="1855" t="s">
        <v>1559</v>
      </c>
      <c r="D1" s="197"/>
      <c r="E1" s="197"/>
      <c r="F1" s="197"/>
      <c r="G1" s="1122">
        <f>MATCH(B1,'数据-取费表'!A6:A16,0)+5</f>
        <v>10</v>
      </c>
      <c r="H1" s="1057" t="str">
        <f>IF(ISERROR(FIND("住宅",B1)),"非住宅","住宅")</f>
        <v>非住宅</v>
      </c>
    </row>
    <row r="2" spans="1:8" s="199" customFormat="1" ht="18" customHeight="1">
      <c r="A2" s="200" t="s">
        <v>1458</v>
      </c>
      <c r="B2" s="3420">
        <f ca="1">ROUND(IF(D2="——",C52/10000,C52/10000-E2),4)</f>
        <v>76259.725000000006</v>
      </c>
      <c r="C2" s="198" t="s">
        <v>1459</v>
      </c>
      <c r="D2" s="1849" t="s">
        <v>43</v>
      </c>
      <c r="E2" s="1165" t="e">
        <f ca="1">SUMIF(INDIRECT("'"&amp;G2&amp;"'"&amp;"!A:A"),"承租人权益价值",INDIRECT("'"&amp;G2&amp;"'"&amp;"!c:c"))</f>
        <v>#REF!</v>
      </c>
      <c r="F2" s="1850" t="s">
        <v>1459</v>
      </c>
      <c r="G2" s="1851"/>
    </row>
    <row r="3" spans="1:8" s="199" customFormat="1" ht="18" customHeight="1" thickBot="1">
      <c r="A3" s="202" t="s">
        <v>1460</v>
      </c>
      <c r="B3" s="203">
        <f ca="1">ROUND(B2*10000/(IF(B1="",'数据-汇总表'!E3,INDIRECT("'数据-取费表'!k"&amp;$G$1))),0)</f>
        <v>7685</v>
      </c>
      <c r="C3" s="198" t="s">
        <v>1461</v>
      </c>
      <c r="D3" s="198"/>
      <c r="E3" s="198"/>
      <c r="F3" s="198"/>
      <c r="G3" s="198"/>
    </row>
    <row r="4" spans="1:8" s="207" customFormat="1" ht="16.2">
      <c r="A4" s="204" t="s">
        <v>1462</v>
      </c>
      <c r="B4" s="205"/>
      <c r="C4" s="205"/>
      <c r="D4" s="205"/>
      <c r="E4" s="205"/>
      <c r="F4" s="205"/>
      <c r="G4" s="206"/>
    </row>
    <row r="5" spans="1:8" s="213" customFormat="1" ht="13.5" customHeight="1">
      <c r="A5" s="254" t="s">
        <v>1463</v>
      </c>
      <c r="B5" s="209" t="s">
        <v>1464</v>
      </c>
      <c r="C5" s="210">
        <f ca="1">C6+C7+C8</f>
        <v>19846466</v>
      </c>
      <c r="D5" s="210" t="s">
        <v>1465</v>
      </c>
      <c r="E5" s="211" t="s">
        <v>1466</v>
      </c>
      <c r="F5" s="211" t="s">
        <v>1467</v>
      </c>
      <c r="G5" s="212"/>
    </row>
    <row r="6" spans="1:8" s="213" customFormat="1" ht="13.5" customHeight="1">
      <c r="A6" s="774" t="s">
        <v>1468</v>
      </c>
      <c r="B6" s="214" t="s">
        <v>1469</v>
      </c>
      <c r="C6" s="215"/>
      <c r="D6" s="216"/>
      <c r="E6" s="217"/>
      <c r="F6" s="217"/>
      <c r="G6" s="218"/>
    </row>
    <row r="7" spans="1:8" s="213" customFormat="1" ht="13.5" customHeight="1">
      <c r="A7" s="774" t="s">
        <v>1470</v>
      </c>
      <c r="B7" s="214" t="s">
        <v>1471</v>
      </c>
      <c r="C7" s="219">
        <f>ROUND(C6*F7,0)</f>
        <v>0</v>
      </c>
      <c r="D7" s="219"/>
      <c r="E7" s="217"/>
      <c r="F7" s="220">
        <f>IF(项目基本情况!B8="出让",0,'数据-取费表'!B48+'数据-取费表'!B49)</f>
        <v>3.0499999999999999E-2</v>
      </c>
      <c r="G7" s="218"/>
    </row>
    <row r="8" spans="1:8" s="222" customFormat="1">
      <c r="A8" s="774" t="s">
        <v>1472</v>
      </c>
      <c r="B8" s="214" t="s">
        <v>1473</v>
      </c>
      <c r="C8" s="219">
        <f ca="1">IF(G8="已包含在土地购买价格中",0,C9+C10)</f>
        <v>19846466</v>
      </c>
      <c r="D8" s="221"/>
      <c r="E8" s="219"/>
      <c r="F8" s="220"/>
      <c r="G8" s="1852"/>
    </row>
    <row r="9" spans="1:8" s="213" customFormat="1" ht="13.5" customHeight="1">
      <c r="A9" s="775" t="s">
        <v>355</v>
      </c>
      <c r="B9" s="223" t="s">
        <v>1474</v>
      </c>
      <c r="C9" s="224">
        <f ca="1">ROUND(D9*E9,0)</f>
        <v>0</v>
      </c>
      <c r="D9" s="841">
        <f ca="1">IF(B1="",'数据-汇总表'!E5,IF(INDIRECT("'数据-取费表'!c"&amp;$G$1)="住宅",INDIRECT("'数据-取费表'!k"&amp;$G$1),0))</f>
        <v>0</v>
      </c>
      <c r="E9" s="224">
        <f>'数据-取费表'!B27</f>
        <v>160</v>
      </c>
      <c r="F9" s="220"/>
      <c r="G9" s="225"/>
    </row>
    <row r="10" spans="1:8" s="213" customFormat="1" ht="13.5" customHeight="1">
      <c r="A10" s="775" t="s">
        <v>356</v>
      </c>
      <c r="B10" s="223" t="s">
        <v>1476</v>
      </c>
      <c r="C10" s="224">
        <f ca="1">ROUND(D10*E10,0)</f>
        <v>19846466</v>
      </c>
      <c r="D10" s="841">
        <f ca="1">IF(B1="",'数据-汇总表'!E6,IF(INDIRECT("'数据-取费表'!c"&amp;$G$1)="住宅",INDIRECT("'数据-取费表'!s"&amp;$G$1),INDIRECT("'数据-取费表'!k"&amp;$G$1)+INDIRECT("'数据-取费表'!s"&amp;$G$1)))</f>
        <v>99232.329999999987</v>
      </c>
      <c r="E10" s="224">
        <f>'数据-取费表'!B28</f>
        <v>200</v>
      </c>
      <c r="F10" s="220"/>
      <c r="G10" s="225"/>
    </row>
    <row r="11" spans="1:8" s="213" customFormat="1" ht="13.5" hidden="1" customHeight="1">
      <c r="A11" s="226" t="s">
        <v>4</v>
      </c>
      <c r="B11" s="214" t="s">
        <v>1477</v>
      </c>
      <c r="C11" s="210"/>
      <c r="D11" s="843"/>
      <c r="E11" s="217"/>
      <c r="F11" s="217"/>
      <c r="G11" s="218"/>
    </row>
    <row r="12" spans="1:8" s="213" customFormat="1" ht="13.5" hidden="1" customHeight="1">
      <c r="A12" s="226" t="s">
        <v>5</v>
      </c>
      <c r="B12" s="214" t="s">
        <v>1560</v>
      </c>
      <c r="C12" s="210">
        <v>0</v>
      </c>
      <c r="D12" s="843"/>
      <c r="E12" s="227"/>
      <c r="F12" s="220">
        <v>3.0499999999999999E-2</v>
      </c>
      <c r="G12" s="218"/>
    </row>
    <row r="13" spans="1:8" s="213" customFormat="1" ht="13.5" hidden="1" customHeight="1">
      <c r="A13" s="226" t="s">
        <v>6</v>
      </c>
      <c r="B13" s="214" t="s">
        <v>1561</v>
      </c>
      <c r="C13" s="210"/>
      <c r="D13" s="843"/>
      <c r="E13" s="217"/>
      <c r="F13" s="217"/>
      <c r="G13" s="218"/>
    </row>
    <row r="14" spans="1:8" s="213" customFormat="1" ht="13.5" hidden="1" customHeight="1">
      <c r="A14" s="226" t="s">
        <v>7</v>
      </c>
      <c r="B14" s="214" t="s">
        <v>1473</v>
      </c>
      <c r="C14" s="210"/>
      <c r="D14" s="843"/>
      <c r="E14" s="217"/>
      <c r="F14" s="217"/>
      <c r="G14" s="218" t="s">
        <v>1562</v>
      </c>
    </row>
    <row r="15" spans="1:8" s="213" customFormat="1" ht="13.5" hidden="1" customHeight="1">
      <c r="A15" s="226" t="s">
        <v>8</v>
      </c>
      <c r="B15" s="214" t="s">
        <v>1563</v>
      </c>
      <c r="C15" s="219"/>
      <c r="D15" s="843"/>
      <c r="E15" s="217"/>
      <c r="F15" s="217"/>
      <c r="G15" s="218" t="s">
        <v>1564</v>
      </c>
    </row>
    <row r="16" spans="1:8" s="213" customFormat="1" ht="13.5" hidden="1" customHeight="1">
      <c r="A16" s="226" t="s">
        <v>9</v>
      </c>
      <c r="B16" s="214" t="s">
        <v>1473</v>
      </c>
      <c r="C16" s="219"/>
      <c r="D16" s="843"/>
      <c r="E16" s="217"/>
      <c r="F16" s="217"/>
      <c r="G16" s="218"/>
    </row>
    <row r="17" spans="1:7" s="213" customFormat="1" ht="13.5" hidden="1" customHeight="1">
      <c r="A17" s="226" t="s">
        <v>10</v>
      </c>
      <c r="B17" s="214" t="s">
        <v>1565</v>
      </c>
      <c r="C17" s="228"/>
      <c r="D17" s="844"/>
      <c r="E17" s="228"/>
      <c r="F17" s="228"/>
      <c r="G17" s="218" t="s">
        <v>1564</v>
      </c>
    </row>
    <row r="18" spans="1:7" s="213" customFormat="1" ht="13.5" hidden="1" customHeight="1">
      <c r="A18" s="226" t="s">
        <v>11</v>
      </c>
      <c r="B18" s="214" t="s">
        <v>1566</v>
      </c>
      <c r="C18" s="219">
        <v>0</v>
      </c>
      <c r="D18" s="843"/>
      <c r="E18" s="217"/>
      <c r="F18" s="220">
        <v>3.0499999999999999E-2</v>
      </c>
      <c r="G18" s="218" t="s">
        <v>1567</v>
      </c>
    </row>
    <row r="19" spans="1:7" s="222" customFormat="1" ht="13.5" customHeight="1">
      <c r="A19" s="254" t="s">
        <v>1568</v>
      </c>
      <c r="B19" s="209" t="s">
        <v>1569</v>
      </c>
      <c r="C19" s="210">
        <f ca="1">IF(G19="已包含在土地取得成本中","0",ROUND(D19*E19,0))</f>
        <v>19846466</v>
      </c>
      <c r="D19" s="845">
        <f ca="1">D9+D10</f>
        <v>99232.329999999987</v>
      </c>
      <c r="E19" s="210">
        <f>'数据-取费表'!B31</f>
        <v>200</v>
      </c>
      <c r="F19" s="230"/>
      <c r="G19" s="1852"/>
    </row>
    <row r="20" spans="1:7" s="213" customFormat="1" ht="13.5" customHeight="1">
      <c r="A20" s="254" t="s">
        <v>1570</v>
      </c>
      <c r="B20" s="209" t="s">
        <v>1571</v>
      </c>
      <c r="C20" s="231">
        <f ca="1">ROUND((C5+C19)*F20,0)</f>
        <v>1190788</v>
      </c>
      <c r="D20" s="231"/>
      <c r="E20" s="231"/>
      <c r="F20" s="232">
        <f>'数据-取费表'!B37</f>
        <v>0.03</v>
      </c>
      <c r="G20" s="233" t="s">
        <v>1572</v>
      </c>
    </row>
    <row r="21" spans="1:7" s="213" customFormat="1" ht="13.5" customHeight="1">
      <c r="A21" s="254" t="s">
        <v>1573</v>
      </c>
      <c r="B21" s="209" t="s">
        <v>1574</v>
      </c>
      <c r="C21" s="234">
        <f>F21</f>
        <v>0.03</v>
      </c>
      <c r="D21" s="235" t="s">
        <v>1575</v>
      </c>
      <c r="E21" s="231"/>
      <c r="F21" s="232">
        <f>'数据-取费表'!B38</f>
        <v>0.03</v>
      </c>
      <c r="G21" s="233" t="s">
        <v>1576</v>
      </c>
    </row>
    <row r="22" spans="1:7" s="213" customFormat="1" ht="13.5" customHeight="1">
      <c r="A22" s="254" t="s">
        <v>1577</v>
      </c>
      <c r="B22" s="209" t="s">
        <v>1578</v>
      </c>
      <c r="C22" s="1123">
        <f ca="1">ROUND(SUM(C23:C25),0)</f>
        <v>5224580</v>
      </c>
      <c r="D22" s="234">
        <f ca="1">C26</f>
        <v>1.9E-3</v>
      </c>
      <c r="E22" s="235" t="s">
        <v>1575</v>
      </c>
      <c r="F22" s="236">
        <f ca="1">'数据-取费表'!B40</f>
        <v>4.1499999999999995E-2</v>
      </c>
      <c r="G22" s="233" t="str">
        <f>IF('数据-取费表'!B22&lt;=1,"单利计息","复利计息")</f>
        <v>复利计息</v>
      </c>
    </row>
    <row r="23" spans="1:7" s="213" customFormat="1" ht="13.5" customHeight="1">
      <c r="A23" s="776" t="s">
        <v>1468</v>
      </c>
      <c r="B23" s="214" t="s">
        <v>1579</v>
      </c>
      <c r="C23" s="1124">
        <f ca="1">ROUND(IF('数据-取费表'!B22&lt;=1,C5*F22*'数据-取费表'!B22,C5*(POWER((1+F22),'数据-取费表'!B22)-1)),0)</f>
        <v>2574845</v>
      </c>
      <c r="D23" s="237"/>
      <c r="E23" s="237"/>
      <c r="F23" s="238"/>
      <c r="G23" s="239" t="s">
        <v>1580</v>
      </c>
    </row>
    <row r="24" spans="1:7" s="213" customFormat="1" ht="13.5" customHeight="1">
      <c r="A24" s="776" t="s">
        <v>1470</v>
      </c>
      <c r="B24" s="214" t="s">
        <v>1581</v>
      </c>
      <c r="C24" s="1124">
        <f ca="1">ROUND(IF('数据-取费表'!B22&lt;=1,C19*F22*('数据-取费表'!B19/2+'数据-取费表'!B20),C19*(POWER((1+F22),('数据-取费表'!B19/2+'数据-取费表'!B20))-1)),0)</f>
        <v>2574845</v>
      </c>
      <c r="D24" s="237"/>
      <c r="E24" s="237"/>
      <c r="F24" s="238"/>
      <c r="G24" s="239" t="s">
        <v>1582</v>
      </c>
    </row>
    <row r="25" spans="1:7" s="213" customFormat="1" ht="24">
      <c r="A25" s="776" t="s">
        <v>1472</v>
      </c>
      <c r="B25" s="214" t="s">
        <v>1583</v>
      </c>
      <c r="C25" s="1124">
        <f ca="1">ROUND(IF('数据-取费表'!B22&lt;=1,C20*F22*'数据-取费表'!B22/2,C20*(POWER((1+F22),'数据-取费表'!B22/2)-1)),0)</f>
        <v>74890</v>
      </c>
      <c r="D25" s="237"/>
      <c r="E25" s="240"/>
      <c r="F25" s="238"/>
      <c r="G25" s="241" t="s">
        <v>1584</v>
      </c>
    </row>
    <row r="26" spans="1:7" s="213" customFormat="1">
      <c r="A26" s="776" t="s">
        <v>350</v>
      </c>
      <c r="B26" s="214" t="s">
        <v>1507</v>
      </c>
      <c r="C26" s="237">
        <f ca="1">ROUND(IF('数据-取费表'!B22&lt;=1,F21*F22*'数据-取费表'!B22/2,F21*(POWER((1+F22),'数据-取费表'!B22/2)-1)),4)</f>
        <v>1.9E-3</v>
      </c>
      <c r="D26" s="237"/>
      <c r="E26" s="240"/>
      <c r="F26" s="238"/>
      <c r="G26" s="242"/>
    </row>
    <row r="27" spans="1:7" s="213" customFormat="1" ht="26.4">
      <c r="A27" s="254" t="s">
        <v>1508</v>
      </c>
      <c r="B27" s="243" t="s">
        <v>1509</v>
      </c>
      <c r="C27" s="244">
        <f ca="1">C28</f>
        <v>6950232</v>
      </c>
      <c r="D27" s="234">
        <f ca="1">C29</f>
        <v>5.1000000000000004E-3</v>
      </c>
      <c r="E27" s="235" t="s">
        <v>1510</v>
      </c>
      <c r="F27" s="245">
        <f ca="1">IF(B1="",'数据-取费表'!Q16,INDIRECT("'数据-取费表'!q"&amp;$G$1))</f>
        <v>0.17</v>
      </c>
      <c r="G27" s="246" t="s">
        <v>1511</v>
      </c>
    </row>
    <row r="28" spans="1:7" s="213" customFormat="1" ht="13.5" customHeight="1">
      <c r="A28" s="776" t="s">
        <v>346</v>
      </c>
      <c r="B28" s="247" t="s">
        <v>1512</v>
      </c>
      <c r="C28" s="248">
        <f ca="1">ROUND((C5+C19+C20)*F27,0)</f>
        <v>6950232</v>
      </c>
      <c r="D28" s="234"/>
      <c r="E28" s="235"/>
      <c r="F28" s="245"/>
      <c r="G28" s="246"/>
    </row>
    <row r="29" spans="1:7" s="213" customFormat="1" ht="13.5" customHeight="1">
      <c r="A29" s="776" t="s">
        <v>347</v>
      </c>
      <c r="B29" s="247" t="s">
        <v>1513</v>
      </c>
      <c r="C29" s="237">
        <f ca="1">ROUND(C21*F27,4)</f>
        <v>5.1000000000000004E-3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58325307</v>
      </c>
      <c r="D31" s="229"/>
      <c r="E31" s="210"/>
      <c r="F31" s="249"/>
      <c r="G31" s="233" t="s">
        <v>1518</v>
      </c>
    </row>
    <row r="32" spans="1:7" s="207" customFormat="1" ht="16.2">
      <c r="A32" s="251" t="s">
        <v>1585</v>
      </c>
      <c r="B32" s="252"/>
      <c r="C32" s="252"/>
      <c r="D32" s="252"/>
      <c r="E32" s="252"/>
      <c r="F32" s="252"/>
      <c r="G32" s="253"/>
    </row>
    <row r="33" spans="1:7" s="213" customFormat="1" ht="13.5" customHeight="1">
      <c r="A33" s="254" t="s">
        <v>337</v>
      </c>
      <c r="B33" s="209" t="s">
        <v>1586</v>
      </c>
      <c r="C33" s="255">
        <f ca="1">SUM(C34:C38)</f>
        <v>542492288</v>
      </c>
      <c r="D33" s="231"/>
      <c r="E33" s="211"/>
      <c r="F33" s="240"/>
      <c r="G33" s="233"/>
    </row>
    <row r="34" spans="1:7" s="257" customFormat="1" ht="13.5" customHeight="1">
      <c r="A34" s="776" t="s">
        <v>346</v>
      </c>
      <c r="B34" s="214" t="s">
        <v>1521</v>
      </c>
      <c r="C34" s="219">
        <f ca="1">ROUND(IF(B1="",SUMPRODUCT('数据-取费表'!K6:K14,'数据-取费表'!L6:L14),INDIRECT("'数据-取费表'!l"&amp;$G$1)*INDIRECT("'数据-取费表'!k"&amp;$G$1)+'数据-取费表'!L14*INDIRECT("'数据-取费表'!S"&amp;$G$1)),0)</f>
        <v>490747250</v>
      </c>
      <c r="D34" s="216"/>
      <c r="E34" s="219"/>
      <c r="F34" s="256"/>
      <c r="G34" s="218"/>
    </row>
    <row r="35" spans="1:7" ht="13.5" customHeight="1">
      <c r="A35" s="776" t="s">
        <v>351</v>
      </c>
      <c r="B35" s="214" t="s">
        <v>1523</v>
      </c>
      <c r="C35" s="219">
        <f ca="1">ROUND(C34*F35,0)</f>
        <v>24537363</v>
      </c>
      <c r="D35" s="219"/>
      <c r="E35" s="219"/>
      <c r="F35" s="258">
        <f>'数据-取费表'!B33</f>
        <v>0.05</v>
      </c>
      <c r="G35" s="218" t="s">
        <v>1524</v>
      </c>
    </row>
    <row r="36" spans="1:7" ht="24">
      <c r="A36" s="776" t="s">
        <v>352</v>
      </c>
      <c r="B36" s="214" t="s">
        <v>1525</v>
      </c>
      <c r="C36" s="219">
        <f ca="1">ROUND(IF(B1="",SUM('数据-取费表'!AP6:AP13)*F36,IF(INDIRECT("'数据-取费表'!c"&amp;$G$1)="住宅",INDIRECT("'数据-取费表'!k"&amp;$G$1)*INDIRECT("'数据-取费表'!l"&amp;$G$1)*F36,0)),0)</f>
        <v>0</v>
      </c>
      <c r="D36" s="219"/>
      <c r="E36" s="219"/>
      <c r="F36" s="258">
        <f>'数据-取费表'!B34</f>
        <v>0</v>
      </c>
      <c r="G36" s="259" t="s">
        <v>1526</v>
      </c>
    </row>
    <row r="37" spans="1:7" s="257" customFormat="1" ht="13.5" customHeight="1">
      <c r="A37" s="776" t="s">
        <v>353</v>
      </c>
      <c r="B37" s="214" t="s">
        <v>1527</v>
      </c>
      <c r="C37" s="248">
        <f ca="1">ROUND(E37*D37,0)</f>
        <v>19846466</v>
      </c>
      <c r="D37" s="216">
        <f ca="1">D19</f>
        <v>99232.329999999987</v>
      </c>
      <c r="E37" s="248">
        <f>'数据-取费表'!B35</f>
        <v>200</v>
      </c>
      <c r="F37" s="258"/>
      <c r="G37" s="260"/>
    </row>
    <row r="38" spans="1:7" ht="13.5" customHeight="1">
      <c r="A38" s="776" t="s">
        <v>354</v>
      </c>
      <c r="B38" s="214" t="s">
        <v>1529</v>
      </c>
      <c r="C38" s="219">
        <f ca="1">ROUND(C34*F38,0)</f>
        <v>7361209</v>
      </c>
      <c r="D38" s="219"/>
      <c r="E38" s="219"/>
      <c r="F38" s="258">
        <f>'数据-取费表'!B36</f>
        <v>1.4999999999999999E-2</v>
      </c>
      <c r="G38" s="218" t="s">
        <v>1524</v>
      </c>
    </row>
    <row r="39" spans="1:7" s="213" customFormat="1" ht="13.5" customHeight="1">
      <c r="A39" s="254" t="s">
        <v>1530</v>
      </c>
      <c r="B39" s="209" t="s">
        <v>1531</v>
      </c>
      <c r="C39" s="231">
        <f ca="1">ROUND(C33*F20,0)</f>
        <v>16274769</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35141668</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ROUND(IF('数据-取费表'!B22&lt;=1,C33*F22*'数据-取费表'!B20/2,C33*(POWER((1+F22),'数据-取费表'!B20/2)-1)),0)</f>
        <v>34118124</v>
      </c>
      <c r="D42" s="237"/>
      <c r="E42" s="237"/>
      <c r="F42" s="238"/>
      <c r="G42" s="3796" t="s">
        <v>1587</v>
      </c>
    </row>
    <row r="43" spans="1:7" ht="13.5" customHeight="1">
      <c r="A43" s="776" t="s">
        <v>347</v>
      </c>
      <c r="B43" s="214" t="s">
        <v>1541</v>
      </c>
      <c r="C43" s="237">
        <f ca="1">ROUND(IF('数据-取费表'!B22&lt;=1,C39*F22*'数据-取费表'!B20/2,C39*(POWER((1+F22),'数据-取费表'!B20/2)-1)),0)</f>
        <v>1023544</v>
      </c>
      <c r="D43" s="237"/>
      <c r="E43" s="237"/>
      <c r="F43" s="238"/>
      <c r="G43" s="3797"/>
    </row>
    <row r="44" spans="1:7" ht="13.5" customHeight="1">
      <c r="A44" s="776" t="s">
        <v>348</v>
      </c>
      <c r="B44" s="214" t="s">
        <v>1542</v>
      </c>
      <c r="C44" s="237">
        <f ca="1">ROUND(IF('数据-取费表'!B22&lt;=1,C40*F22*'数据-取费表'!B20/2,C40*(POWER((1+F22),'数据-取费表'!B20/2)-1)),4)</f>
        <v>1.9E-3</v>
      </c>
      <c r="D44" s="237"/>
      <c r="E44" s="237"/>
      <c r="F44" s="238"/>
      <c r="G44" s="3798"/>
    </row>
    <row r="45" spans="1:7" s="213" customFormat="1" ht="13.5" customHeight="1">
      <c r="A45" s="254" t="s">
        <v>1543</v>
      </c>
      <c r="B45" s="243" t="s">
        <v>1509</v>
      </c>
      <c r="C45" s="244">
        <f ca="1">C46</f>
        <v>94990400</v>
      </c>
      <c r="D45" s="234">
        <f ca="1">C47</f>
        <v>5.1000000000000004E-3</v>
      </c>
      <c r="E45" s="235" t="s">
        <v>1535</v>
      </c>
      <c r="F45" s="245">
        <f ca="1">F27</f>
        <v>0.17</v>
      </c>
      <c r="G45" s="246" t="s">
        <v>1544</v>
      </c>
    </row>
    <row r="46" spans="1:7" s="213" customFormat="1" ht="13.5" customHeight="1">
      <c r="A46" s="776" t="s">
        <v>346</v>
      </c>
      <c r="B46" s="247" t="s">
        <v>1545</v>
      </c>
      <c r="C46" s="248">
        <f ca="1">ROUND((C33+C39)*F27,0)</f>
        <v>94990400</v>
      </c>
      <c r="D46" s="262"/>
      <c r="E46" s="235"/>
      <c r="F46" s="245"/>
      <c r="G46" s="246"/>
    </row>
    <row r="47" spans="1:7" s="213" customFormat="1" ht="13.5" customHeight="1">
      <c r="A47" s="776" t="s">
        <v>347</v>
      </c>
      <c r="B47" s="247" t="s">
        <v>1546</v>
      </c>
      <c r="C47" s="237">
        <f ca="1">ROUND(C40*F27,4)</f>
        <v>5.1000000000000004E-3</v>
      </c>
      <c r="D47" s="262"/>
      <c r="E47" s="235"/>
      <c r="F47" s="245"/>
      <c r="G47" s="246"/>
    </row>
    <row r="48" spans="1:7" s="213" customFormat="1" ht="13.5" customHeight="1">
      <c r="A48" s="254" t="s">
        <v>1508</v>
      </c>
      <c r="B48" s="209" t="s">
        <v>1547</v>
      </c>
      <c r="C48" s="261">
        <f>ROUND(F30/(1+'数据-取费表'!C42),4)</f>
        <v>5.33E-2</v>
      </c>
      <c r="D48" s="235" t="s">
        <v>1535</v>
      </c>
      <c r="E48" s="231"/>
      <c r="F48" s="236">
        <f>F30</f>
        <v>5.6000000000000001E-2</v>
      </c>
      <c r="G48" s="233" t="s">
        <v>1548</v>
      </c>
    </row>
    <row r="49" spans="1:7" ht="16.5" customHeight="1">
      <c r="A49" s="254" t="s">
        <v>1514</v>
      </c>
      <c r="B49" s="209" t="s">
        <v>1588</v>
      </c>
      <c r="C49" s="231">
        <f ca="1">ROUND((C33+C39+C41+C45)/(1-C40-D41-D45-C48),0)</f>
        <v>757281659</v>
      </c>
      <c r="D49" s="231"/>
      <c r="E49" s="231"/>
      <c r="F49" s="263"/>
      <c r="G49" s="233" t="s">
        <v>1550</v>
      </c>
    </row>
    <row r="50" spans="1:7" s="257" customFormat="1">
      <c r="A50" s="254" t="s">
        <v>1551</v>
      </c>
      <c r="B50" s="209" t="s">
        <v>1552</v>
      </c>
      <c r="C50" s="231"/>
      <c r="D50" s="231"/>
      <c r="E50" s="231"/>
      <c r="F50" s="263">
        <f>IF('数据-取费表'!B24=0,'数据-取费表'!N16,1)</f>
        <v>0.93</v>
      </c>
      <c r="G50" s="246"/>
    </row>
    <row r="51" spans="1:7" ht="16.5" customHeight="1">
      <c r="A51" s="254" t="s">
        <v>1554</v>
      </c>
      <c r="B51" s="209" t="s">
        <v>1589</v>
      </c>
      <c r="C51" s="231">
        <f ca="1">ROUND(C49*F50,0)</f>
        <v>704271943</v>
      </c>
      <c r="D51" s="231"/>
      <c r="E51" s="231"/>
      <c r="F51" s="263"/>
      <c r="G51" s="233" t="s">
        <v>1556</v>
      </c>
    </row>
    <row r="52" spans="1:7" s="207" customFormat="1" ht="16.8" thickBot="1">
      <c r="A52" s="264" t="s">
        <v>1557</v>
      </c>
      <c r="B52" s="265"/>
      <c r="C52" s="266">
        <f ca="1">C31+C51</f>
        <v>762597250</v>
      </c>
      <c r="D52" s="265"/>
      <c r="E52" s="265"/>
      <c r="F52" s="265"/>
      <c r="G52" s="267"/>
    </row>
    <row r="55" spans="1:7" ht="15">
      <c r="B55" s="269" t="s">
        <v>1558</v>
      </c>
      <c r="C55" s="270"/>
    </row>
    <row r="56" spans="1:7">
      <c r="B56" s="272" t="s">
        <v>798</v>
      </c>
      <c r="C56" s="274">
        <f ca="1">1-C57</f>
        <v>7.5999999999999956E-2</v>
      </c>
    </row>
    <row r="57" spans="1:7">
      <c r="B57" s="272" t="s">
        <v>799</v>
      </c>
      <c r="C57" s="273">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6" customWidth="1"/>
    <col min="2" max="2" width="25.77734375" style="777" customWidth="1"/>
    <col min="3" max="3" width="10.33203125" style="819" customWidth="1"/>
    <col min="4" max="4" width="9.88671875" style="777" customWidth="1"/>
    <col min="5" max="5" width="9.44140625" style="726" customWidth="1"/>
    <col min="6" max="6" width="10.109375" style="777" customWidth="1"/>
    <col min="7" max="7" width="10.77734375" style="777" customWidth="1"/>
    <col min="8" max="8" width="10" style="777" customWidth="1"/>
    <col min="9" max="11" width="9.44140625" style="777" customWidth="1"/>
    <col min="12" max="12" width="9" style="777" customWidth="1"/>
    <col min="13" max="13" width="10.44140625" style="777" bestFit="1" customWidth="1"/>
    <col min="14" max="254" width="9" style="777" customWidth="1"/>
    <col min="255" max="16384" width="6.6640625" style="777"/>
  </cols>
  <sheetData>
    <row r="1" spans="1:33" ht="21">
      <c r="A1" s="195" t="s">
        <v>1590</v>
      </c>
      <c r="B1" s="1187"/>
      <c r="C1" s="1188"/>
      <c r="D1" s="1186"/>
      <c r="E1" s="2802"/>
      <c r="F1" s="2802"/>
      <c r="G1" s="2667"/>
      <c r="H1" s="2802"/>
      <c r="I1" s="2802"/>
      <c r="J1" s="2802"/>
      <c r="K1" s="2803">
        <f>MATCH(C1,'数据-取费表'!A6:A16,0)+5</f>
        <v>10</v>
      </c>
    </row>
    <row r="2" spans="1:33" ht="18" customHeight="1">
      <c r="A2" s="200" t="s">
        <v>1458</v>
      </c>
      <c r="B2" s="203">
        <f ca="1">C32</f>
        <v>-2326</v>
      </c>
      <c r="C2" s="275" t="s">
        <v>1591</v>
      </c>
      <c r="D2" s="275"/>
      <c r="E2" s="2802"/>
      <c r="F2" s="2802"/>
      <c r="G2" s="2802"/>
      <c r="H2" s="2802"/>
      <c r="I2" s="2802"/>
      <c r="J2" s="2802"/>
      <c r="K2" s="2802"/>
    </row>
    <row r="3" spans="1:33" ht="18" customHeight="1" thickBot="1">
      <c r="A3" s="202" t="s">
        <v>1460</v>
      </c>
      <c r="B3" s="203">
        <f ca="1">ROUND(B2*10000/IF(C1="",'数据-汇总表'!E3,INDIRECT("'数据-取费表'!K"&amp;$K$1)),0)</f>
        <v>-234</v>
      </c>
      <c r="C3" s="275" t="s">
        <v>1592</v>
      </c>
      <c r="D3" s="275"/>
      <c r="E3" s="2802"/>
      <c r="F3" s="2802"/>
      <c r="G3" s="2802"/>
      <c r="H3" s="2802"/>
      <c r="I3" s="2802"/>
      <c r="J3" s="2802"/>
      <c r="K3" s="2802"/>
    </row>
    <row r="4" spans="1:33" s="781" customFormat="1" ht="16.5" customHeight="1">
      <c r="A4" s="778" t="s">
        <v>1593</v>
      </c>
      <c r="B4" s="779"/>
      <c r="C4" s="820">
        <f>SUM(C8:K8)</f>
        <v>0</v>
      </c>
      <c r="D4" s="779"/>
      <c r="E4" s="779"/>
      <c r="F4" s="779"/>
      <c r="G4" s="779"/>
      <c r="H4" s="779"/>
      <c r="I4" s="779"/>
      <c r="J4" s="779"/>
      <c r="K4" s="780"/>
    </row>
    <row r="5" spans="1:33" s="785" customFormat="1" ht="14.4">
      <c r="A5" s="782" t="s">
        <v>1594</v>
      </c>
      <c r="B5" s="783" t="s">
        <v>1595</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1596</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1597</v>
      </c>
      <c r="B7" s="130" t="s">
        <v>1598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1599</v>
      </c>
      <c r="B8" s="163" t="s">
        <v>1600</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1601</v>
      </c>
      <c r="B9" s="779"/>
      <c r="C9" s="779"/>
      <c r="D9" s="779"/>
      <c r="E9" s="779"/>
      <c r="F9" s="779"/>
      <c r="G9" s="779"/>
      <c r="H9" s="779"/>
      <c r="I9" s="779"/>
      <c r="J9" s="779"/>
      <c r="K9" s="780"/>
    </row>
    <row r="10" spans="1:33" s="795" customFormat="1" ht="13.5" customHeight="1">
      <c r="A10" s="782" t="s">
        <v>1602</v>
      </c>
      <c r="B10" s="5" t="s">
        <v>1603</v>
      </c>
      <c r="C10" s="791" t="s">
        <v>1604</v>
      </c>
      <c r="D10" s="792" t="s">
        <v>1605</v>
      </c>
      <c r="E10" s="792" t="s">
        <v>1606</v>
      </c>
      <c r="F10" s="792" t="s">
        <v>1607</v>
      </c>
      <c r="G10" s="5"/>
      <c r="H10" s="793"/>
      <c r="I10" s="793"/>
      <c r="J10" s="793"/>
      <c r="K10" s="794"/>
    </row>
    <row r="11" spans="1:33" s="799" customFormat="1" ht="13.5" customHeight="1">
      <c r="A11" s="796" t="s">
        <v>635</v>
      </c>
      <c r="B11" s="797" t="s">
        <v>1608</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1609</v>
      </c>
      <c r="C12" s="21">
        <f ca="1">ROUND(C11*F12,0)</f>
        <v>0</v>
      </c>
      <c r="D12" s="798"/>
      <c r="E12" s="328"/>
      <c r="F12" s="808">
        <f>'数据-取费表'!B33</f>
        <v>0.05</v>
      </c>
      <c r="G12" s="5" t="s">
        <v>1610</v>
      </c>
      <c r="H12" s="793"/>
      <c r="I12" s="793"/>
      <c r="J12" s="793"/>
      <c r="K12" s="794"/>
    </row>
    <row r="13" spans="1:33" s="799" customFormat="1" ht="13.5" customHeight="1">
      <c r="A13" s="796" t="s">
        <v>637</v>
      </c>
      <c r="B13" s="797" t="s">
        <v>1611</v>
      </c>
      <c r="C13" s="21">
        <f ca="1">ROUND(IF(C1="",SUMIF('数据-取费表'!C:C,"住宅",'数据-取费表'!P:P)*F13,IF(INDIRECT("'数据-取费表'!c"&amp;$K$1)="住宅",INDIRECT("'数据-取费表'!P"&amp;$K$1)*F13,0)),0)</f>
        <v>0</v>
      </c>
      <c r="D13" s="842"/>
      <c r="E13" s="328"/>
      <c r="F13" s="808">
        <f>'数据-取费表'!B34</f>
        <v>0</v>
      </c>
      <c r="G13" s="5" t="s">
        <v>1612</v>
      </c>
      <c r="H13" s="793"/>
      <c r="I13" s="793"/>
      <c r="J13" s="793"/>
      <c r="K13" s="794"/>
    </row>
    <row r="14" spans="1:33" s="801" customFormat="1" ht="13.5" customHeight="1">
      <c r="A14" s="796" t="s">
        <v>638</v>
      </c>
      <c r="B14" s="797" t="s">
        <v>1613</v>
      </c>
      <c r="C14" s="21">
        <f ca="1">ROUND(D14*E14*F11/10000,0)</f>
        <v>0</v>
      </c>
      <c r="D14" s="842">
        <f ca="1">IF(C1="",'数据-汇总表'!E3,INDIRECT("'数据-取费表'!K"&amp;$K$1)+INDIRECT("'数据-取费表'!S"&amp;$K$1))</f>
        <v>99232.329999999987</v>
      </c>
      <c r="E14" s="21">
        <f>'数据-取费表'!B35</f>
        <v>200</v>
      </c>
      <c r="F14" s="800"/>
      <c r="G14" s="5" t="s">
        <v>1614</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1615</v>
      </c>
      <c r="C15" s="807">
        <f ca="1">ROUND(C11*F15,0)</f>
        <v>0</v>
      </c>
      <c r="D15" s="802"/>
      <c r="E15" s="807"/>
      <c r="F15" s="808">
        <f>'数据-取费表'!B36</f>
        <v>1.4999999999999999E-2</v>
      </c>
      <c r="G15" s="130" t="s">
        <v>1616</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1617</v>
      </c>
      <c r="C16" s="807">
        <f ca="1">SUM(C11:C15)</f>
        <v>0</v>
      </c>
      <c r="D16" s="802"/>
      <c r="E16" s="807"/>
      <c r="F16" s="808"/>
      <c r="G16" s="130"/>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1618</v>
      </c>
      <c r="C17" s="21">
        <f ca="1">ROUND(D17*E17/10000,0)</f>
        <v>0</v>
      </c>
      <c r="D17" s="842">
        <f ca="1">D14</f>
        <v>99232.329999999987</v>
      </c>
      <c r="E17" s="21">
        <f>'数据-取费表'!B32</f>
        <v>0</v>
      </c>
      <c r="F17" s="802"/>
      <c r="G17" s="130" t="s">
        <v>1619</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1620</v>
      </c>
      <c r="C18" s="21">
        <f ca="1">C19+C20-IF(C1="",'数据-取费表'!B29,IF(G18="已全部缴纳",C19+C20,H18))</f>
        <v>1985</v>
      </c>
      <c r="D18" s="842"/>
      <c r="E18" s="21"/>
      <c r="F18" s="800"/>
      <c r="G18" s="1858"/>
      <c r="H18" s="1183"/>
      <c r="I18" s="1859" t="s">
        <v>1621</v>
      </c>
      <c r="J18" s="803"/>
      <c r="K18" s="804"/>
    </row>
    <row r="19" spans="1:33" s="799" customFormat="1" ht="13.5" customHeight="1">
      <c r="A19" s="796" t="s">
        <v>360</v>
      </c>
      <c r="B19" s="797" t="s">
        <v>1622</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1623</v>
      </c>
      <c r="C20" s="21">
        <f ca="1">ROUND(D20*E20/10000,0)</f>
        <v>1985</v>
      </c>
      <c r="D20" s="842">
        <f ca="1">IF(C1="",'数据-汇总表'!E6,IF(INDIRECT("'数据-取费表'!c"&amp;$K$1)="住宅",INDIRECT("'数据-取费表'!s"&amp;$K$1),INDIRECT("'数据-取费表'!k"&amp;$K$1)+INDIRECT("'数据-取费表'!s"&amp;$K$1)))</f>
        <v>99232.329999999987</v>
      </c>
      <c r="E20" s="21">
        <f>'数据-取费表'!B28</f>
        <v>200</v>
      </c>
      <c r="F20" s="800"/>
      <c r="G20" s="12"/>
      <c r="H20" s="805"/>
      <c r="I20" s="805"/>
      <c r="J20" s="805"/>
      <c r="K20" s="806"/>
    </row>
    <row r="21" spans="1:33" s="799" customFormat="1" ht="13.5" customHeight="1">
      <c r="A21" s="786" t="s">
        <v>357</v>
      </c>
      <c r="B21" s="809" t="s">
        <v>1624</v>
      </c>
      <c r="C21" s="810">
        <f ca="1">C16+C17+C18</f>
        <v>1985</v>
      </c>
      <c r="D21" s="811"/>
      <c r="E21" s="280"/>
      <c r="F21" s="280"/>
      <c r="G21" s="130" t="s">
        <v>1625</v>
      </c>
      <c r="H21" s="803"/>
      <c r="I21" s="803"/>
      <c r="J21" s="803"/>
      <c r="K21" s="804"/>
    </row>
    <row r="22" spans="1:33" s="799" customFormat="1" ht="13.5" customHeight="1">
      <c r="A22" s="786" t="s">
        <v>1597</v>
      </c>
      <c r="B22" s="809" t="s">
        <v>1626</v>
      </c>
      <c r="C22" s="810">
        <f ca="1">ROUND(C21*F22,0)</f>
        <v>60</v>
      </c>
      <c r="D22" s="280"/>
      <c r="E22" s="280"/>
      <c r="F22" s="812">
        <f>'数据-取费表'!B37</f>
        <v>0.03</v>
      </c>
      <c r="G22" s="5" t="s">
        <v>1627</v>
      </c>
      <c r="H22" s="793"/>
      <c r="I22" s="793"/>
      <c r="J22" s="793"/>
      <c r="K22" s="794"/>
    </row>
    <row r="23" spans="1:33" s="799" customFormat="1" ht="13.5" customHeight="1">
      <c r="A23" s="786" t="s">
        <v>1599</v>
      </c>
      <c r="B23" s="809" t="s">
        <v>1628</v>
      </c>
      <c r="C23" s="810">
        <f ca="1">ROUND(C4*F23*F11,0)</f>
        <v>0</v>
      </c>
      <c r="D23" s="280"/>
      <c r="E23" s="280"/>
      <c r="F23" s="812">
        <f>'数据-取费表'!B38</f>
        <v>0.03</v>
      </c>
      <c r="G23" s="5" t="s">
        <v>1629</v>
      </c>
      <c r="H23" s="793"/>
      <c r="I23" s="793"/>
      <c r="J23" s="793"/>
      <c r="K23" s="794"/>
    </row>
    <row r="24" spans="1:33" s="799" customFormat="1" ht="13.5" customHeight="1">
      <c r="A24" s="786" t="s">
        <v>1630</v>
      </c>
      <c r="B24" s="809" t="s">
        <v>1631</v>
      </c>
      <c r="C24" s="279">
        <f>ROUND(F24/(1+'数据-取费表'!C42),4)</f>
        <v>2.9000000000000001E-2</v>
      </c>
      <c r="D24" s="280" t="s">
        <v>12</v>
      </c>
      <c r="E24" s="280"/>
      <c r="F24" s="812">
        <f>IF(项目基本情况!B8="出让",0,'数据-取费表'!B48+'数据-取费表'!B49)</f>
        <v>3.0499999999999999E-2</v>
      </c>
      <c r="G24" s="5" t="s">
        <v>1632</v>
      </c>
      <c r="H24" s="814"/>
      <c r="I24" s="814"/>
      <c r="J24" s="814"/>
      <c r="K24" s="815"/>
    </row>
    <row r="25" spans="1:33" s="799" customFormat="1" ht="13.5" customHeight="1">
      <c r="A25" s="786" t="s">
        <v>1633</v>
      </c>
      <c r="B25" s="811" t="s">
        <v>1634</v>
      </c>
      <c r="C25" s="1102">
        <f ca="1">C27</f>
        <v>0</v>
      </c>
      <c r="D25" s="279">
        <f ca="1">C26</f>
        <v>0</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1635</v>
      </c>
      <c r="C26" s="1103">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1636</v>
      </c>
      <c r="C27" s="1104">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3"/>
      <c r="I27" s="803"/>
      <c r="J27" s="803"/>
      <c r="K27" s="804"/>
    </row>
    <row r="28" spans="1:33" s="288" customFormat="1" ht="13.5" customHeight="1">
      <c r="A28" s="786" t="s">
        <v>1637</v>
      </c>
      <c r="B28" s="1861" t="s">
        <v>1638</v>
      </c>
      <c r="C28" s="286">
        <f ca="1">C30</f>
        <v>348</v>
      </c>
      <c r="D28" s="279">
        <f ca="1">C29</f>
        <v>0</v>
      </c>
      <c r="E28" s="281" t="s">
        <v>12</v>
      </c>
      <c r="F28" s="287">
        <f ca="1">IF(C1="",'数据-取费表'!Q16,INDIRECT("'数据-取费表'!q"&amp;$K$1))</f>
        <v>0.17</v>
      </c>
      <c r="G28" s="813"/>
      <c r="H28" s="814"/>
      <c r="I28" s="814"/>
      <c r="J28" s="814"/>
      <c r="K28" s="815"/>
    </row>
    <row r="29" spans="1:33" s="290" customFormat="1" ht="13.5" customHeight="1">
      <c r="A29" s="796" t="s">
        <v>358</v>
      </c>
      <c r="B29" s="818" t="s">
        <v>1639</v>
      </c>
      <c r="C29" s="283">
        <f ca="1">ROUND((1+C24)*F28*'数据-取费表'!B24/'数据-取费表'!B20,4)</f>
        <v>0</v>
      </c>
      <c r="D29" s="283"/>
      <c r="E29" s="284"/>
      <c r="F29" s="289"/>
      <c r="G29" s="130" t="s">
        <v>1640</v>
      </c>
      <c r="H29" s="803"/>
      <c r="I29" s="803"/>
      <c r="J29" s="803"/>
      <c r="K29" s="804"/>
    </row>
    <row r="30" spans="1:33" s="290" customFormat="1" ht="13.5" customHeight="1">
      <c r="A30" s="796" t="s">
        <v>359</v>
      </c>
      <c r="B30" s="818" t="s">
        <v>1641</v>
      </c>
      <c r="C30" s="291">
        <f ca="1">ROUND((C21+C22+C23)*F28,0)</f>
        <v>348</v>
      </c>
      <c r="D30" s="283"/>
      <c r="E30" s="284"/>
      <c r="F30" s="289"/>
      <c r="G30" s="130"/>
      <c r="H30" s="803"/>
      <c r="I30" s="803"/>
      <c r="J30" s="803"/>
      <c r="K30" s="804"/>
    </row>
    <row r="31" spans="1:33" s="799" customFormat="1" ht="13.5" customHeight="1" thickBot="1">
      <c r="A31" s="1862" t="s">
        <v>1642</v>
      </c>
      <c r="B31" s="829" t="s">
        <v>1643</v>
      </c>
      <c r="C31" s="830">
        <f>ROUND(C4*F31/(1+'数据-取费表'!C42),0)</f>
        <v>0</v>
      </c>
      <c r="D31" s="831"/>
      <c r="E31" s="832"/>
      <c r="F31" s="833">
        <f>'数据-取费表'!B41</f>
        <v>5.6000000000000001E-2</v>
      </c>
      <c r="G31" s="834" t="s">
        <v>1644</v>
      </c>
      <c r="H31" s="835"/>
      <c r="I31" s="835"/>
      <c r="J31" s="835"/>
      <c r="K31" s="836"/>
    </row>
    <row r="32" spans="1:33" s="795" customFormat="1" ht="13.5" customHeight="1" thickBot="1">
      <c r="A32" s="824" t="s">
        <v>1645</v>
      </c>
      <c r="B32" s="825"/>
      <c r="C32" s="826">
        <f ca="1">ROUND((C4-C21-C22-C23-C25-C28-C31)/(1+C24+D25+D28),0)</f>
        <v>-2326</v>
      </c>
      <c r="D32" s="825"/>
      <c r="E32" s="825"/>
      <c r="F32" s="825"/>
      <c r="G32" s="827" t="s">
        <v>1646</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33" sqref="J33"/>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4" customWidth="1"/>
    <col min="12" max="12" width="16.33203125" style="257" customWidth="1"/>
    <col min="13" max="13" width="13" style="257"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7"/>
  </cols>
  <sheetData>
    <row r="1" spans="1:37" s="292" customFormat="1" ht="21.6">
      <c r="A1" s="1371" t="s">
        <v>873</v>
      </c>
      <c r="B1" s="711"/>
      <c r="C1" s="1375" t="s">
        <v>3397</v>
      </c>
      <c r="D1" s="1358" t="s">
        <v>43</v>
      </c>
      <c r="E1" s="1359" t="s">
        <v>674</v>
      </c>
      <c r="F1" s="1058">
        <f ca="1">J53</f>
        <v>27.58</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88595</v>
      </c>
      <c r="C2" s="1383" t="s">
        <v>801</v>
      </c>
      <c r="D2" s="1383"/>
      <c r="E2" s="1384"/>
      <c r="F2" s="1385"/>
      <c r="G2" s="2702"/>
      <c r="H2" s="2691"/>
      <c r="I2" s="2691"/>
      <c r="J2" s="2691"/>
      <c r="K2" s="2692"/>
      <c r="L2" s="2691"/>
      <c r="M2" s="2691"/>
    </row>
    <row r="3" spans="1:37" ht="18" customHeight="1" thickBot="1">
      <c r="A3" s="1386" t="s">
        <v>802</v>
      </c>
      <c r="B3" s="1387">
        <f ca="1">IF(ISERROR(B2*10000/F43),0,ROUND(B2*10000/F43,0))</f>
        <v>44677</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5661</v>
      </c>
      <c r="D5" s="1360" t="s">
        <v>689</v>
      </c>
      <c r="E5" s="1067"/>
      <c r="F5" s="1068"/>
      <c r="G5" s="1380"/>
      <c r="H5" s="298">
        <v>1</v>
      </c>
      <c r="I5" s="299" t="s">
        <v>688</v>
      </c>
      <c r="J5" s="1066">
        <f ca="1">J6+J10+J12</f>
        <v>0</v>
      </c>
      <c r="K5" s="1360" t="s">
        <v>689</v>
      </c>
      <c r="L5" s="1067"/>
      <c r="M5" s="1068"/>
    </row>
    <row r="6" spans="1:37" ht="18" customHeight="1">
      <c r="A6" s="1065" t="s">
        <v>398</v>
      </c>
      <c r="B6" s="3801" t="s">
        <v>690</v>
      </c>
      <c r="C6" s="1070">
        <f ca="1">ROUND(F6*F8*F7*(1-F9)/10000,0)</f>
        <v>5654</v>
      </c>
      <c r="D6" s="154" t="s">
        <v>2105</v>
      </c>
      <c r="E6" s="301" t="s">
        <v>692</v>
      </c>
      <c r="F6" s="302">
        <f ca="1">INDIRECT("'数据-取费表'!u"&amp;$G$1)</f>
        <v>8.68</v>
      </c>
      <c r="G6" s="1380"/>
      <c r="H6" s="1065" t="s">
        <v>398</v>
      </c>
      <c r="I6" s="3801" t="s">
        <v>690</v>
      </c>
      <c r="J6" s="300">
        <f ca="1">ROUND(M6*M8*M7*(1-M9)/10000,0)</f>
        <v>0</v>
      </c>
      <c r="K6" s="154" t="s">
        <v>2104</v>
      </c>
      <c r="L6" s="301" t="s">
        <v>692</v>
      </c>
      <c r="M6" s="302">
        <f ca="1">INDIRECT("'数据-取费表'!z"&amp;$G$1)</f>
        <v>0</v>
      </c>
    </row>
    <row r="7" spans="1:37" ht="18" customHeight="1">
      <c r="A7" s="1069"/>
      <c r="B7" s="3802"/>
      <c r="C7" s="1071"/>
      <c r="D7" s="306"/>
      <c r="E7" s="1072" t="s">
        <v>693</v>
      </c>
      <c r="F7" s="302">
        <f ca="1">IF(INDIRECT("'数据-取费表'!ah"&amp;$G$1)="",INDIRECT("'数据-取费表'!k"&amp;$G$1),INDIRECT("'数据-取费表'!ah"&amp;$G$1))</f>
        <v>19830.27</v>
      </c>
      <c r="G7" s="1380"/>
      <c r="H7" s="303"/>
      <c r="I7" s="3802"/>
      <c r="J7" s="305"/>
      <c r="K7" s="306"/>
      <c r="L7" s="301" t="s">
        <v>693</v>
      </c>
      <c r="M7" s="302">
        <f ca="1">F7</f>
        <v>19830.27</v>
      </c>
    </row>
    <row r="8" spans="1:37" ht="18" customHeight="1">
      <c r="A8" s="303"/>
      <c r="B8" s="3802"/>
      <c r="C8" s="305"/>
      <c r="D8" s="306"/>
      <c r="E8" s="301" t="s">
        <v>694</v>
      </c>
      <c r="F8" s="302">
        <f ca="1">INDIRECT("'数据-取费表'!ai"&amp;$G$1)</f>
        <v>365</v>
      </c>
      <c r="G8" s="1380"/>
      <c r="H8" s="303"/>
      <c r="I8" s="3802"/>
      <c r="J8" s="305"/>
      <c r="K8" s="306"/>
      <c r="L8" s="301" t="s">
        <v>694</v>
      </c>
      <c r="M8" s="302">
        <f ca="1">INDIRECT("'数据-取费表'!ai"&amp;$G$1)</f>
        <v>365</v>
      </c>
    </row>
    <row r="9" spans="1:37" ht="18" customHeight="1">
      <c r="A9" s="303"/>
      <c r="B9" s="3803"/>
      <c r="C9" s="305"/>
      <c r="D9" s="306"/>
      <c r="E9" s="301" t="s">
        <v>695</v>
      </c>
      <c r="F9" s="311">
        <f ca="1">INDIRECT("'数据-取费表'!w"&amp;$G$1)</f>
        <v>0.1</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7</v>
      </c>
      <c r="D10" s="1362" t="s">
        <v>2113</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15991</v>
      </c>
      <c r="D13" s="1077" t="s">
        <v>701</v>
      </c>
      <c r="E13" s="1077"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10907</v>
      </c>
      <c r="D14" s="1341" t="s">
        <v>704</v>
      </c>
      <c r="E14" s="1338"/>
      <c r="F14" s="318"/>
      <c r="G14" s="1380"/>
      <c r="H14" s="978" t="s">
        <v>398</v>
      </c>
      <c r="I14" s="301" t="s">
        <v>705</v>
      </c>
      <c r="J14" s="21">
        <f ca="1">C29</f>
        <v>17195</v>
      </c>
      <c r="K14" s="12"/>
      <c r="L14" s="803"/>
      <c r="M14" s="804"/>
    </row>
    <row r="15" spans="1:37" s="1393" customFormat="1" ht="18" customHeight="1" thickBot="1">
      <c r="A15" s="978" t="s">
        <v>399</v>
      </c>
      <c r="B15" s="301" t="s">
        <v>706</v>
      </c>
      <c r="C15" s="21">
        <f ca="1">ROUND(C14*F15,0)</f>
        <v>545</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121</v>
      </c>
      <c r="K16" s="1083" t="s">
        <v>711</v>
      </c>
      <c r="L16" s="1084"/>
      <c r="M16" s="1068"/>
    </row>
    <row r="17" spans="1:37" s="1393" customFormat="1" ht="18" customHeight="1">
      <c r="A17" s="978" t="s">
        <v>677</v>
      </c>
      <c r="B17" s="301" t="s">
        <v>712</v>
      </c>
      <c r="C17" s="21">
        <f ca="1">ROUND(F17*(F43+INDIRECT("'数据-取费表'!S"&amp;$G$1))/10000,0)</f>
        <v>397</v>
      </c>
      <c r="D17" s="301" t="s">
        <v>713</v>
      </c>
      <c r="E17" s="301" t="s">
        <v>714</v>
      </c>
      <c r="F17" s="23">
        <f>'数据-取费表'!B35</f>
        <v>200</v>
      </c>
      <c r="G17" s="1392"/>
      <c r="H17" s="978" t="s">
        <v>398</v>
      </c>
      <c r="I17" s="301" t="s">
        <v>715</v>
      </c>
      <c r="J17" s="2312">
        <f ca="1">ROUND(IF(AND(项目基本情况!B11="自然人",项目基本情况!B10="北京市"),J6*M17/(1+'数据-取费表'!C42),J18+J19+J20),2)</f>
        <v>0.75</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164</v>
      </c>
      <c r="D18" s="301" t="s">
        <v>707</v>
      </c>
      <c r="E18" s="301" t="s">
        <v>708</v>
      </c>
      <c r="F18" s="321">
        <f>'数据-取费表'!B36</f>
        <v>1.4999999999999999E-2</v>
      </c>
      <c r="G18" s="1392"/>
      <c r="H18" s="978" t="s">
        <v>397</v>
      </c>
      <c r="I18" s="301" t="s">
        <v>719</v>
      </c>
      <c r="J18" s="21">
        <f ca="1">ROUND(J6*M18/(1+'数据-取费表'!C42),2)</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12013</v>
      </c>
      <c r="D19" s="130" t="s">
        <v>722</v>
      </c>
      <c r="E19" s="1356"/>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360</v>
      </c>
      <c r="D20" s="322" t="s">
        <v>725</v>
      </c>
      <c r="E20" s="301" t="s">
        <v>708</v>
      </c>
      <c r="F20" s="321">
        <f>'数据-取费表'!B37</f>
        <v>0.03</v>
      </c>
      <c r="G20" s="1392"/>
      <c r="H20" s="978" t="s">
        <v>676</v>
      </c>
      <c r="I20" s="154" t="s">
        <v>726</v>
      </c>
      <c r="J20" s="22">
        <f ca="1">ROUND(M20*M21/10000,2)</f>
        <v>0.75</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322" t="s">
        <v>730</v>
      </c>
      <c r="E21" s="301" t="s">
        <v>731</v>
      </c>
      <c r="F21" s="321">
        <f>'数据-取费表'!B38</f>
        <v>0.03</v>
      </c>
      <c r="G21" s="1392"/>
      <c r="H21" s="325"/>
      <c r="I21" s="310"/>
      <c r="J21" s="26"/>
      <c r="K21" s="326"/>
      <c r="L21" s="301" t="s">
        <v>732</v>
      </c>
      <c r="M21" s="302">
        <f ca="1">INDIRECT("'数据-取费表'!r"&amp;$G$1)</f>
        <v>2506.06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ROUND(J14*M22,2)</f>
        <v>120.37</v>
      </c>
      <c r="K22" s="1340" t="s">
        <v>735</v>
      </c>
      <c r="L22" s="301" t="s">
        <v>708</v>
      </c>
      <c r="M22" s="327">
        <f ca="1">INDIRECT("'数据-取费表'!Ak"&amp;$G$1)</f>
        <v>7.0000000000000001E-3</v>
      </c>
    </row>
    <row r="23" spans="1:37" s="1393" customFormat="1" ht="18" customHeight="1">
      <c r="A23" s="978" t="s">
        <v>397</v>
      </c>
      <c r="B23" s="301" t="s">
        <v>736</v>
      </c>
      <c r="C23" s="21">
        <f ca="1">IF('数据-取费表'!B22&lt;=1,ROUND(C19*F24*F23/2,0)+ROUND(C20*F24*F23/2,0),ROUND(C19*(POWER((1+F24),F23/2)-1),0)+ROUND(C20*(POWER((1+F24),F23/2)-1),0))</f>
        <v>779</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1340"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1356"/>
      <c r="F25" s="23"/>
      <c r="G25" s="1380"/>
      <c r="H25" s="1075" t="s">
        <v>394</v>
      </c>
      <c r="I25" s="1090" t="s">
        <v>748</v>
      </c>
      <c r="J25" s="309">
        <f ca="1">J5-J16</f>
        <v>-121</v>
      </c>
      <c r="K25" s="1091" t="s">
        <v>749</v>
      </c>
      <c r="L25" s="1092"/>
      <c r="M25" s="1093"/>
    </row>
    <row r="26" spans="1:37">
      <c r="A26" s="978" t="s">
        <v>397</v>
      </c>
      <c r="B26" s="301" t="s">
        <v>750</v>
      </c>
      <c r="C26" s="21">
        <f ca="1">ROUND((C19+C20)*F26,0)</f>
        <v>2475</v>
      </c>
      <c r="D26" s="322"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17195</v>
      </c>
      <c r="D29" s="1088"/>
      <c r="E29" s="1086"/>
      <c r="F29" s="1089"/>
      <c r="G29" s="1392"/>
      <c r="H29" s="333" t="s">
        <v>396</v>
      </c>
      <c r="I29" s="334" t="s">
        <v>764</v>
      </c>
      <c r="J29" s="335">
        <f ca="1">ROUND(J26/(1+F40)^F41,0)</f>
        <v>0</v>
      </c>
      <c r="K29" s="336" t="s">
        <v>765</v>
      </c>
      <c r="L29" s="337"/>
      <c r="M29" s="338">
        <f ca="1">INDIRECT("'数据-取费表'!k"&amp;$G$1)</f>
        <v>19830.27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1141</v>
      </c>
      <c r="D30" s="1083" t="s">
        <v>711</v>
      </c>
      <c r="E30" s="1084"/>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948.47</v>
      </c>
      <c r="D31" s="1341" t="s">
        <v>716</v>
      </c>
      <c r="E31" s="1340"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301.55</v>
      </c>
      <c r="D32" s="1340"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646.16999999999996</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0.75</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2506.06</v>
      </c>
      <c r="G35" s="1380"/>
      <c r="H35" s="2693"/>
      <c r="I35" s="1394"/>
      <c r="J35" s="1395"/>
      <c r="K35" s="2697"/>
      <c r="L35" s="2696"/>
      <c r="M35" s="2696"/>
    </row>
    <row r="36" spans="1:18" ht="18" customHeight="1">
      <c r="A36" s="1098" t="s">
        <v>402</v>
      </c>
      <c r="B36" s="301" t="s">
        <v>734</v>
      </c>
      <c r="C36" s="21">
        <f ca="1">ROUND(C29*F36,2)</f>
        <v>120.37</v>
      </c>
      <c r="D36" s="1340" t="s">
        <v>767</v>
      </c>
      <c r="E36" s="301" t="s">
        <v>708</v>
      </c>
      <c r="F36" s="327">
        <f ca="1">INDIRECT("'数据-取费表'!Ak"&amp;$G$1)</f>
        <v>7.0000000000000001E-3</v>
      </c>
      <c r="G36" s="1380"/>
      <c r="H36" s="2696"/>
      <c r="I36" s="1394"/>
      <c r="J36" s="1395"/>
      <c r="K36" s="2540"/>
      <c r="L36" s="2696"/>
      <c r="M36" s="2696"/>
    </row>
    <row r="37" spans="1:18" ht="18" customHeight="1">
      <c r="A37" s="978" t="s">
        <v>437</v>
      </c>
      <c r="B37" s="301" t="s">
        <v>738</v>
      </c>
      <c r="C37" s="21">
        <f ca="1">ROUND(C13*F37,2)</f>
        <v>15.99</v>
      </c>
      <c r="D37" s="1340" t="s">
        <v>739</v>
      </c>
      <c r="E37" s="301" t="s">
        <v>740</v>
      </c>
      <c r="F37" s="329">
        <f ca="1">INDIRECT("'数据-取费表'!Al"&amp;$G$1)</f>
        <v>1E-3</v>
      </c>
      <c r="G37" s="1380"/>
      <c r="H37" s="2696"/>
      <c r="I37" s="1394"/>
      <c r="J37" s="1395"/>
      <c r="K37" s="2540"/>
      <c r="L37" s="2696"/>
      <c r="M37" s="2696"/>
    </row>
    <row r="38" spans="1:18" ht="18" customHeight="1" thickBot="1">
      <c r="A38" s="1085" t="s">
        <v>680</v>
      </c>
      <c r="B38" s="1086" t="s">
        <v>724</v>
      </c>
      <c r="C38" s="1087">
        <f ca="1">ROUND(C5*F38,2)</f>
        <v>56.61</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4520</v>
      </c>
      <c r="D39" s="1091" t="s">
        <v>769</v>
      </c>
      <c r="E39" s="1092"/>
      <c r="F39" s="1093"/>
      <c r="G39" s="1380"/>
      <c r="H39" s="2696"/>
      <c r="I39" s="1394">
        <f ca="1">C39/C5</f>
        <v>0.79844550432785721</v>
      </c>
      <c r="J39" s="1395"/>
      <c r="K39" s="2700"/>
      <c r="L39" s="2696"/>
      <c r="M39" s="2696"/>
    </row>
    <row r="40" spans="1:18" ht="18" customHeight="1">
      <c r="A40" s="298" t="s">
        <v>395</v>
      </c>
      <c r="B40" s="299" t="s">
        <v>770</v>
      </c>
      <c r="C40" s="300">
        <f ca="1">ROUND(C39*(1-((1+F42)/(1+F40))^F41)/(F40-F42),0)</f>
        <v>87486</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44117</v>
      </c>
      <c r="D43" s="336" t="s">
        <v>773</v>
      </c>
      <c r="E43" s="337" t="s">
        <v>774</v>
      </c>
      <c r="F43" s="338">
        <f ca="1">INDIRECT("'数据-取费表'!k"&amp;$G$1)</f>
        <v>19830.27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8" thickBot="1">
      <c r="A46" s="1400" t="s">
        <v>805</v>
      </c>
      <c r="C46" s="1401">
        <f ca="1">C68-C40</f>
        <v>-89408</v>
      </c>
      <c r="D46" s="1402" t="str">
        <f>C2</f>
        <v>万元</v>
      </c>
      <c r="E46" s="1396"/>
      <c r="F46" s="1396"/>
      <c r="I46" s="1403" t="s">
        <v>806</v>
      </c>
      <c r="J46" s="1404"/>
      <c r="K46" s="1405"/>
      <c r="L46" s="1406">
        <f ca="1">IF(M47="住宅",0,IF(L48&gt;J51,L60,J60))</f>
        <v>1109</v>
      </c>
      <c r="O46" s="1407" t="s">
        <v>807</v>
      </c>
      <c r="P46" s="1408" t="s">
        <v>808</v>
      </c>
      <c r="Q46" s="1409" t="s">
        <v>809</v>
      </c>
      <c r="R46" s="1409" t="s">
        <v>810</v>
      </c>
    </row>
    <row r="47" spans="1:18" s="1380" customFormat="1" ht="13.8"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87486</v>
      </c>
      <c r="R47" s="1416" t="s">
        <v>814</v>
      </c>
    </row>
    <row r="48" spans="1:18" s="1380" customFormat="1" ht="40.200000000000003" thickBot="1">
      <c r="A48" s="1106" t="s">
        <v>438</v>
      </c>
      <c r="B48" s="299" t="s">
        <v>688</v>
      </c>
      <c r="C48" s="1355">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1109</v>
      </c>
      <c r="R48" s="1416" t="s">
        <v>818</v>
      </c>
    </row>
    <row r="49" spans="1:18" s="1380" customFormat="1" ht="13.8" thickBot="1">
      <c r="A49" s="971" t="s">
        <v>439</v>
      </c>
      <c r="B49" s="1367" t="s">
        <v>775</v>
      </c>
      <c r="C49" s="1110">
        <f ca="1">ROUND(F49*F51*F50*(1-F52)/10000,0)</f>
        <v>0</v>
      </c>
      <c r="D49" s="1051" t="s">
        <v>2106</v>
      </c>
      <c r="E49" s="1368" t="s">
        <v>776</v>
      </c>
      <c r="F49" s="1056"/>
      <c r="G49" s="1421"/>
      <c r="H49" s="721"/>
      <c r="I49" s="1417" t="s">
        <v>819</v>
      </c>
      <c r="J49" s="1422">
        <v>2019</v>
      </c>
      <c r="K49" s="1419" t="s">
        <v>820</v>
      </c>
      <c r="L49" s="1423"/>
      <c r="O49" s="1424" t="s">
        <v>405</v>
      </c>
      <c r="P49" s="1415" t="s">
        <v>821</v>
      </c>
      <c r="Q49" s="1416">
        <f ca="1">C29</f>
        <v>17195</v>
      </c>
      <c r="R49" s="1416" t="s">
        <v>814</v>
      </c>
    </row>
    <row r="50" spans="1:18" s="1380" customFormat="1" ht="13.8" thickBot="1">
      <c r="A50" s="972"/>
      <c r="B50" s="975"/>
      <c r="C50" s="1114"/>
      <c r="D50" s="949"/>
      <c r="E50" s="1052" t="s">
        <v>693</v>
      </c>
      <c r="F50" s="1053">
        <f ca="1">F7</f>
        <v>19830.27</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8"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57365</v>
      </c>
      <c r="M51" s="1432"/>
      <c r="O51" s="1424" t="s">
        <v>407</v>
      </c>
      <c r="P51" s="1415" t="s">
        <v>827</v>
      </c>
      <c r="Q51" s="1427">
        <f>J52</f>
        <v>7.4999999999999997E-2</v>
      </c>
      <c r="R51" s="1416"/>
    </row>
    <row r="52" spans="1:18" s="1380" customFormat="1" ht="13.8"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36.6"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799" t="s">
        <v>833</v>
      </c>
      <c r="L53" s="3800"/>
      <c r="O53" s="1414" t="s">
        <v>409</v>
      </c>
      <c r="P53" s="1415" t="s">
        <v>834</v>
      </c>
      <c r="Q53" s="1416">
        <f ca="1">Q47+Q48</f>
        <v>88595</v>
      </c>
      <c r="R53" s="1416" t="s">
        <v>410</v>
      </c>
    </row>
    <row r="54" spans="1:18" s="1380" customFormat="1" ht="24.6" thickBot="1">
      <c r="A54" s="1149"/>
      <c r="B54" s="1363" t="s">
        <v>675</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8" thickBot="1">
      <c r="A55" s="1079" t="s">
        <v>437</v>
      </c>
      <c r="B55" s="1365" t="s">
        <v>699</v>
      </c>
      <c r="C55" s="1080"/>
      <c r="D55" s="1362"/>
      <c r="E55" s="1370"/>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37.200000000000003" thickTop="1" thickBot="1">
      <c r="A56" s="953">
        <v>2</v>
      </c>
      <c r="B56" s="954" t="s">
        <v>700</v>
      </c>
      <c r="C56" s="231">
        <f ca="1">C13</f>
        <v>15991</v>
      </c>
      <c r="D56" s="1443"/>
      <c r="E56" s="1444"/>
      <c r="F56" s="1436"/>
      <c r="I56" s="1445" t="s">
        <v>838</v>
      </c>
      <c r="J56" s="1446" t="s">
        <v>3431</v>
      </c>
      <c r="K56" s="1417" t="s">
        <v>839</v>
      </c>
      <c r="L56" s="1420" t="str">
        <f ca="1">IF(L48&lt;J51,"——",L48-J53)</f>
        <v>——</v>
      </c>
      <c r="O56" s="1414" t="s">
        <v>403</v>
      </c>
      <c r="P56" s="1415" t="s">
        <v>813</v>
      </c>
      <c r="Q56" s="1416">
        <f ca="1">C40+J29</f>
        <v>87486</v>
      </c>
      <c r="R56" s="1416" t="s">
        <v>814</v>
      </c>
    </row>
    <row r="57" spans="1:18" s="1380" customFormat="1" ht="24.6" thickBot="1">
      <c r="A57" s="1447"/>
      <c r="B57" s="946" t="s">
        <v>763</v>
      </c>
      <c r="C57" s="237">
        <f ca="1">C29</f>
        <v>17195</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6" thickBot="1">
      <c r="A58" s="314" t="s">
        <v>393</v>
      </c>
      <c r="B58" s="954" t="s">
        <v>710</v>
      </c>
      <c r="C58" s="315">
        <f ca="1">ROUND(C59+C64+C65+C66,0)</f>
        <v>137</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6"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8150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2"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1109</v>
      </c>
      <c r="K60" s="1456" t="s">
        <v>850</v>
      </c>
      <c r="L60" s="1455">
        <f ca="1">IF(OR(M47="住宅",L48&lt;J51),0,ROUND(L57*(L58/L59-1),0))</f>
        <v>0</v>
      </c>
      <c r="O60" s="1424" t="s">
        <v>407</v>
      </c>
      <c r="P60" s="1415" t="s">
        <v>851</v>
      </c>
      <c r="Q60" s="1416" t="e">
        <f ca="1">L58</f>
        <v>#DIV/0!</v>
      </c>
      <c r="R60" s="1416" t="s">
        <v>852</v>
      </c>
    </row>
    <row r="61" spans="1:18" s="1380" customFormat="1" ht="13.8"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8" thickBot="1">
      <c r="A62" s="978" t="s">
        <v>780</v>
      </c>
      <c r="B62" s="945" t="s">
        <v>781</v>
      </c>
      <c r="C62" s="22">
        <f ca="1">IF(项目基本情况!B11="自然人","——",ROUND(F62*F63/10000,2))</f>
        <v>0.75</v>
      </c>
      <c r="D62" s="961" t="s">
        <v>782</v>
      </c>
      <c r="E62" s="946" t="s">
        <v>783</v>
      </c>
      <c r="F62" s="324">
        <f t="shared" si="0"/>
        <v>3</v>
      </c>
      <c r="I62" s="1458" t="s">
        <v>854</v>
      </c>
      <c r="J62" s="1459" t="s">
        <v>855</v>
      </c>
      <c r="K62" s="1459" t="s">
        <v>856</v>
      </c>
      <c r="L62" s="1459" t="s">
        <v>857</v>
      </c>
      <c r="M62" s="1460" t="s">
        <v>858</v>
      </c>
      <c r="O62" s="1414" t="s">
        <v>409</v>
      </c>
      <c r="P62" s="1415" t="s">
        <v>859</v>
      </c>
      <c r="Q62" s="1416">
        <f ca="1">Q56+Q57</f>
        <v>87486</v>
      </c>
      <c r="R62" s="1416" t="s">
        <v>410</v>
      </c>
    </row>
    <row r="63" spans="1:18" s="1380" customFormat="1" ht="13.8" thickBot="1">
      <c r="A63" s="325"/>
      <c r="B63" s="952"/>
      <c r="C63" s="26"/>
      <c r="D63" s="962"/>
      <c r="E63" s="946" t="s">
        <v>784</v>
      </c>
      <c r="F63" s="302">
        <f t="shared" ca="1" si="0"/>
        <v>2506.06</v>
      </c>
      <c r="I63" s="1458" t="s">
        <v>860</v>
      </c>
      <c r="J63" s="1459">
        <v>70</v>
      </c>
      <c r="K63" s="1459">
        <v>50</v>
      </c>
      <c r="L63" s="1459">
        <v>80</v>
      </c>
      <c r="M63" s="1461">
        <v>0.02</v>
      </c>
      <c r="O63" s="1399" t="s">
        <v>861</v>
      </c>
      <c r="P63" s="1377"/>
      <c r="Q63" s="1377"/>
      <c r="R63" s="1377"/>
    </row>
    <row r="64" spans="1:18" s="1380" customFormat="1" ht="13.8" thickBot="1">
      <c r="A64" s="978" t="s">
        <v>785</v>
      </c>
      <c r="B64" s="946" t="s">
        <v>786</v>
      </c>
      <c r="C64" s="21">
        <f ca="1">ROUND(C57*F64,2)</f>
        <v>120.37</v>
      </c>
      <c r="D64" s="960" t="s">
        <v>787</v>
      </c>
      <c r="E64" s="946" t="s">
        <v>779</v>
      </c>
      <c r="F64" s="327">
        <f t="shared" ca="1" si="0"/>
        <v>7.0000000000000001E-3</v>
      </c>
      <c r="I64" s="1458" t="s">
        <v>862</v>
      </c>
      <c r="J64" s="1459">
        <v>50</v>
      </c>
      <c r="K64" s="1459">
        <v>35</v>
      </c>
      <c r="L64" s="1459">
        <v>60</v>
      </c>
      <c r="M64" s="1460">
        <v>0</v>
      </c>
      <c r="O64" s="1407" t="s">
        <v>807</v>
      </c>
      <c r="P64" s="1408" t="s">
        <v>808</v>
      </c>
      <c r="Q64" s="1409" t="s">
        <v>809</v>
      </c>
      <c r="R64" s="1409" t="s">
        <v>810</v>
      </c>
    </row>
    <row r="65" spans="1:18" s="1380" customFormat="1" ht="13.8" thickBot="1">
      <c r="A65" s="978" t="s">
        <v>788</v>
      </c>
      <c r="B65" s="946" t="s">
        <v>738</v>
      </c>
      <c r="C65" s="21">
        <f ca="1">ROUND(C56*F65,2)</f>
        <v>15.99</v>
      </c>
      <c r="D65" s="960" t="s">
        <v>739</v>
      </c>
      <c r="E65" s="946" t="s">
        <v>740</v>
      </c>
      <c r="F65" s="329">
        <f t="shared" ca="1" si="0"/>
        <v>1E-3</v>
      </c>
      <c r="I65" s="1458" t="s">
        <v>863</v>
      </c>
      <c r="J65" s="1459">
        <v>40</v>
      </c>
      <c r="K65" s="1459">
        <v>30</v>
      </c>
      <c r="L65" s="1459">
        <v>50</v>
      </c>
      <c r="M65" s="1461">
        <v>0.02</v>
      </c>
      <c r="O65" s="1414" t="s">
        <v>403</v>
      </c>
      <c r="P65" s="1415" t="s">
        <v>864</v>
      </c>
      <c r="Q65" s="1416">
        <f ca="1">C40+J29</f>
        <v>87486</v>
      </c>
      <c r="R65" s="1416" t="s">
        <v>814</v>
      </c>
    </row>
    <row r="66" spans="1:18" s="1380" customFormat="1" ht="16.2"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24.6" thickBot="1">
      <c r="A67" s="953" t="s">
        <v>394</v>
      </c>
      <c r="B67" s="963" t="s">
        <v>748</v>
      </c>
      <c r="C67" s="315">
        <f ca="1">C48-C58</f>
        <v>-137</v>
      </c>
      <c r="D67" s="959" t="s">
        <v>749</v>
      </c>
      <c r="E67" s="964"/>
      <c r="F67" s="965"/>
      <c r="O67" s="1424" t="s">
        <v>405</v>
      </c>
      <c r="P67" s="1415" t="s">
        <v>846</v>
      </c>
      <c r="Q67" s="1462">
        <f ca="1">L51</f>
        <v>57365</v>
      </c>
      <c r="R67" s="1416" t="s">
        <v>866</v>
      </c>
    </row>
    <row r="68" spans="1:18" s="1380" customFormat="1" ht="16.2" thickBot="1">
      <c r="A68" s="943" t="s">
        <v>395</v>
      </c>
      <c r="B68" s="944" t="s">
        <v>770</v>
      </c>
      <c r="C68" s="300">
        <f ca="1">ROUND(C67*(1-((1+F70)/(1+F68))^F69)/(F68-F70),0)</f>
        <v>-1922</v>
      </c>
      <c r="D68" s="961" t="s">
        <v>754</v>
      </c>
      <c r="E68" s="946" t="s">
        <v>755</v>
      </c>
      <c r="F68" s="311">
        <f ca="1">F40</f>
        <v>5.5E-2</v>
      </c>
      <c r="O68" s="1424" t="s">
        <v>406</v>
      </c>
      <c r="P68" s="1463" t="s">
        <v>867</v>
      </c>
      <c r="Q68" s="1416">
        <f ca="1">ROUND(Q69-Q70*Q71,0)</f>
        <v>3321</v>
      </c>
      <c r="R68" s="1416" t="s">
        <v>414</v>
      </c>
    </row>
    <row r="69" spans="1:18" s="1380" customFormat="1" ht="13.8" thickBot="1">
      <c r="A69" s="947"/>
      <c r="B69" s="948"/>
      <c r="C69" s="305"/>
      <c r="D69" s="966" t="s">
        <v>758</v>
      </c>
      <c r="E69" s="946" t="s">
        <v>759</v>
      </c>
      <c r="F69" s="332">
        <f ca="1">F41</f>
        <v>27.58</v>
      </c>
      <c r="O69" s="1424" t="s">
        <v>411</v>
      </c>
      <c r="P69" s="1463" t="s">
        <v>868</v>
      </c>
      <c r="Q69" s="1416">
        <f ca="1">C39</f>
        <v>4520</v>
      </c>
      <c r="R69" s="1416" t="s">
        <v>814</v>
      </c>
    </row>
    <row r="70" spans="1:18" s="1380" customFormat="1" ht="13.8" thickBot="1">
      <c r="A70" s="950"/>
      <c r="B70" s="951"/>
      <c r="C70" s="309"/>
      <c r="D70" s="962"/>
      <c r="E70" s="946" t="s">
        <v>762</v>
      </c>
      <c r="F70" s="1050"/>
      <c r="O70" s="1424" t="s">
        <v>412</v>
      </c>
      <c r="P70" s="1463" t="s">
        <v>869</v>
      </c>
      <c r="Q70" s="1416">
        <f ca="1">C13</f>
        <v>15991</v>
      </c>
      <c r="R70" s="1416" t="s">
        <v>814</v>
      </c>
    </row>
    <row r="71" spans="1:18" s="1380" customFormat="1" ht="13.8" thickBot="1">
      <c r="A71" s="967" t="s">
        <v>396</v>
      </c>
      <c r="B71" s="968" t="s">
        <v>772</v>
      </c>
      <c r="C71" s="335">
        <f ca="1">ROUND(C68*10000/F71,0)</f>
        <v>-969</v>
      </c>
      <c r="D71" s="969" t="s">
        <v>773</v>
      </c>
      <c r="E71" s="970" t="s">
        <v>774</v>
      </c>
      <c r="F71" s="338">
        <f ca="1">F43</f>
        <v>19830.27</v>
      </c>
      <c r="O71" s="1424" t="s">
        <v>413</v>
      </c>
      <c r="P71" s="1463" t="s">
        <v>870</v>
      </c>
      <c r="Q71" s="1427">
        <f ca="1">C76</f>
        <v>7.4999999999999997E-2</v>
      </c>
      <c r="R71" s="1416"/>
    </row>
    <row r="72" spans="1:18" s="1380" customFormat="1" ht="13.8" thickBot="1">
      <c r="B72" s="724"/>
      <c r="C72" s="724"/>
      <c r="O72" s="1424" t="s">
        <v>407</v>
      </c>
      <c r="P72" s="1415" t="s">
        <v>848</v>
      </c>
      <c r="Q72" s="1427">
        <f>L52</f>
        <v>0</v>
      </c>
      <c r="R72" s="1416"/>
    </row>
    <row r="73" spans="1:18" ht="16.2" thickBot="1">
      <c r="A73" s="1380"/>
      <c r="B73" s="724"/>
      <c r="C73" s="724"/>
      <c r="D73" s="1380"/>
      <c r="E73" s="1380"/>
      <c r="F73" s="1380"/>
      <c r="O73" s="1424" t="s">
        <v>408</v>
      </c>
      <c r="P73" s="1415" t="s">
        <v>851</v>
      </c>
      <c r="Q73" s="1416" t="e">
        <f ca="1">L58</f>
        <v>#DIV/0!</v>
      </c>
      <c r="R73" s="1416" t="s">
        <v>852</v>
      </c>
    </row>
    <row r="74" spans="1:18" ht="13.8"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8" thickBot="1">
      <c r="A75" s="1380"/>
      <c r="B75" s="339" t="s">
        <v>791</v>
      </c>
      <c r="C75" s="340">
        <f ca="1">ROUND(C13*C76,0)</f>
        <v>1199</v>
      </c>
      <c r="D75" s="1380"/>
      <c r="E75" s="1380"/>
      <c r="F75" s="1380"/>
      <c r="K75" s="1398"/>
      <c r="L75" s="1380"/>
      <c r="O75" s="1414" t="s">
        <v>409</v>
      </c>
      <c r="P75" s="1415" t="s">
        <v>834</v>
      </c>
      <c r="Q75" s="1416">
        <f ca="1">Q65+Q66</f>
        <v>87486</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0.73499999999999999</v>
      </c>
    </row>
    <row r="80" spans="1:18">
      <c r="B80" s="339" t="s">
        <v>796</v>
      </c>
      <c r="C80" s="273">
        <f ca="1">ROUND(C75/C39,3)</f>
        <v>0.26500000000000001</v>
      </c>
    </row>
    <row r="81" spans="2:3">
      <c r="B81" s="269" t="s">
        <v>797</v>
      </c>
      <c r="C81" s="237"/>
    </row>
    <row r="82" spans="2:3">
      <c r="B82" s="272" t="s">
        <v>798</v>
      </c>
      <c r="C82" s="274">
        <f ca="1">1-C83</f>
        <v>0.81699999999999995</v>
      </c>
    </row>
    <row r="83" spans="2:3">
      <c r="B83" s="272" t="s">
        <v>799</v>
      </c>
      <c r="C83" s="273">
        <f ca="1">ROUND(C13/C40,3)</f>
        <v>0.183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70" zoomScaleNormal="100" zoomScaleSheetLayoutView="70" zoomScalePageLayoutView="80" workbookViewId="0">
      <selection activeCell="D14" sqref="D14:D16"/>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1258</v>
      </c>
      <c r="B1" s="1743"/>
      <c r="C1" s="1744" t="s">
        <v>3399</v>
      </c>
      <c r="D1" s="1743"/>
      <c r="E1" s="1743"/>
      <c r="F1" s="1745" t="s">
        <v>1259</v>
      </c>
      <c r="G1" s="1557"/>
      <c r="H1" s="1746" t="str">
        <f>IF(G1="现房","——","估价对象范围")</f>
        <v>估价对象范围</v>
      </c>
      <c r="I1" s="1747"/>
    </row>
    <row r="2" spans="1:12" ht="21.75" customHeight="1" thickBot="1">
      <c r="A2" s="3750" t="str">
        <f>项目基本情况!S2</f>
        <v>北京市房地产</v>
      </c>
      <c r="B2" s="3751"/>
      <c r="C2" s="3751"/>
      <c r="D2" s="3751"/>
      <c r="E2" s="3751"/>
      <c r="F2" s="3751"/>
      <c r="G2" s="3751"/>
      <c r="H2" s="3751"/>
      <c r="I2" s="3752"/>
    </row>
    <row r="3" spans="1:12" ht="13.2">
      <c r="A3" s="3754" t="s">
        <v>1260</v>
      </c>
      <c r="B3" s="3755"/>
      <c r="C3" s="3755"/>
      <c r="D3" s="3755"/>
      <c r="E3" s="3755"/>
      <c r="F3" s="3755"/>
      <c r="G3" s="3755"/>
      <c r="H3" s="3755"/>
      <c r="I3" s="3755"/>
    </row>
    <row r="4" spans="1:12" ht="14.4">
      <c r="A4" s="1750" t="s">
        <v>1261</v>
      </c>
      <c r="B4" s="1751" t="s">
        <v>1262</v>
      </c>
      <c r="C4" s="1752" t="s">
        <v>3416</v>
      </c>
      <c r="D4" s="1752" t="s">
        <v>3422</v>
      </c>
      <c r="E4" s="3759" t="s">
        <v>1263</v>
      </c>
      <c r="F4" s="3760"/>
      <c r="G4" s="3760"/>
      <c r="H4" s="3760"/>
      <c r="I4" s="3761"/>
      <c r="K4" s="145"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45"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3.2">
      <c r="A5" s="3698" t="s">
        <v>1264</v>
      </c>
      <c r="B5" s="3753">
        <v>25</v>
      </c>
      <c r="C5" s="3756"/>
      <c r="D5" s="3744"/>
      <c r="E5" s="130" t="s">
        <v>1265</v>
      </c>
      <c r="F5" s="1753"/>
      <c r="G5" s="1753"/>
      <c r="H5" s="1753"/>
      <c r="I5" s="1369"/>
    </row>
    <row r="6" spans="1:12" ht="13.2">
      <c r="A6" s="3698"/>
      <c r="B6" s="3753"/>
      <c r="C6" s="3758"/>
      <c r="D6" s="3744"/>
      <c r="E6" s="130" t="s">
        <v>1266</v>
      </c>
      <c r="F6" s="1753"/>
      <c r="G6" s="1753"/>
      <c r="H6" s="1753"/>
      <c r="I6" s="1369"/>
    </row>
    <row r="7" spans="1:12" ht="13.2">
      <c r="A7" s="3698"/>
      <c r="B7" s="3753"/>
      <c r="C7" s="3757"/>
      <c r="D7" s="3744"/>
      <c r="E7" s="130" t="s">
        <v>1267</v>
      </c>
      <c r="F7" s="1753"/>
      <c r="G7" s="1753"/>
      <c r="H7" s="1753"/>
      <c r="I7" s="1369"/>
    </row>
    <row r="8" spans="1:12" ht="13.2">
      <c r="A8" s="3698" t="s">
        <v>1268</v>
      </c>
      <c r="B8" s="3753">
        <v>15</v>
      </c>
      <c r="C8" s="3756"/>
      <c r="D8" s="3744"/>
      <c r="E8" s="130" t="s">
        <v>1269</v>
      </c>
      <c r="F8" s="1753"/>
      <c r="G8" s="1753"/>
      <c r="H8" s="1753"/>
      <c r="I8" s="1369"/>
    </row>
    <row r="9" spans="1:12" ht="13.2">
      <c r="A9" s="3698"/>
      <c r="B9" s="3753"/>
      <c r="C9" s="3757"/>
      <c r="D9" s="3744"/>
      <c r="E9" s="130" t="s">
        <v>1270</v>
      </c>
      <c r="F9" s="1753"/>
      <c r="G9" s="1753"/>
      <c r="H9" s="1753"/>
      <c r="I9" s="1369"/>
    </row>
    <row r="10" spans="1:12" ht="13.2">
      <c r="A10" s="3698" t="s">
        <v>1271</v>
      </c>
      <c r="B10" s="3753">
        <v>15</v>
      </c>
      <c r="C10" s="3756"/>
      <c r="D10" s="3744"/>
      <c r="E10" s="130" t="s">
        <v>1272</v>
      </c>
      <c r="F10" s="1753"/>
      <c r="G10" s="1753"/>
      <c r="H10" s="1753"/>
      <c r="I10" s="1369"/>
    </row>
    <row r="11" spans="1:12" ht="13.2">
      <c r="A11" s="3698"/>
      <c r="B11" s="3753"/>
      <c r="C11" s="3757"/>
      <c r="D11" s="3744"/>
      <c r="E11" s="130" t="s">
        <v>1273</v>
      </c>
      <c r="F11" s="1753"/>
      <c r="G11" s="1753"/>
      <c r="H11" s="1753"/>
      <c r="I11" s="1369"/>
    </row>
    <row r="12" spans="1:12" ht="13.2">
      <c r="A12" s="3698" t="s">
        <v>1274</v>
      </c>
      <c r="B12" s="3753">
        <v>15</v>
      </c>
      <c r="C12" s="3756"/>
      <c r="D12" s="3744"/>
      <c r="E12" s="130" t="s">
        <v>1275</v>
      </c>
      <c r="F12" s="1753"/>
      <c r="G12" s="1753"/>
      <c r="H12" s="1753"/>
      <c r="I12" s="1369"/>
    </row>
    <row r="13" spans="1:12" ht="13.2">
      <c r="A13" s="3698"/>
      <c r="B13" s="3753"/>
      <c r="C13" s="3757"/>
      <c r="D13" s="3744"/>
      <c r="E13" s="130" t="s">
        <v>1276</v>
      </c>
      <c r="F13" s="1753"/>
      <c r="G13" s="1753"/>
      <c r="H13" s="1753"/>
      <c r="I13" s="1369"/>
    </row>
    <row r="14" spans="1:12" ht="13.2">
      <c r="A14" s="3698" t="s">
        <v>1277</v>
      </c>
      <c r="B14" s="3753">
        <v>30</v>
      </c>
      <c r="C14" s="3756">
        <v>5</v>
      </c>
      <c r="D14" s="3744">
        <v>5</v>
      </c>
      <c r="E14" s="130" t="s">
        <v>1278</v>
      </c>
      <c r="F14" s="1753"/>
      <c r="G14" s="1753"/>
      <c r="H14" s="1753"/>
      <c r="I14" s="1369"/>
    </row>
    <row r="15" spans="1:12" ht="13.2">
      <c r="A15" s="3698"/>
      <c r="B15" s="3753"/>
      <c r="C15" s="3758"/>
      <c r="D15" s="3744"/>
      <c r="E15" s="130" t="s">
        <v>1279</v>
      </c>
      <c r="F15" s="1753"/>
      <c r="G15" s="1753"/>
      <c r="H15" s="1753"/>
      <c r="I15" s="1369"/>
    </row>
    <row r="16" spans="1:12" ht="13.2">
      <c r="A16" s="3698"/>
      <c r="B16" s="3753"/>
      <c r="C16" s="3757"/>
      <c r="D16" s="3744"/>
      <c r="E16" s="130" t="s">
        <v>1280</v>
      </c>
      <c r="F16" s="1753"/>
      <c r="G16" s="1753"/>
      <c r="H16" s="1753"/>
      <c r="I16" s="1369"/>
    </row>
    <row r="17" spans="1:36" ht="14.4">
      <c r="A17" s="1754" t="s">
        <v>1281</v>
      </c>
      <c r="B17" s="56"/>
      <c r="C17" s="131">
        <f>SUM(C5:C16)</f>
        <v>5</v>
      </c>
      <c r="D17" s="131">
        <f>SUM(D5:D16)</f>
        <v>5</v>
      </c>
      <c r="E17" s="128"/>
      <c r="F17" s="128"/>
      <c r="G17" s="128"/>
      <c r="H17" s="128"/>
      <c r="I17" s="128"/>
      <c r="K17" s="301"/>
      <c r="L17" s="301" t="s">
        <v>1282</v>
      </c>
      <c r="M17" s="301" t="s">
        <v>1283</v>
      </c>
    </row>
    <row r="18" spans="1:36" ht="31.95" customHeight="1" thickBot="1">
      <c r="A18" s="1755" t="s">
        <v>1284</v>
      </c>
      <c r="B18" s="1756"/>
      <c r="C18" s="132">
        <f>ROUND(C17/SUM(C17:D17),2)</f>
        <v>0.5</v>
      </c>
      <c r="D18" s="132">
        <f>1-C18</f>
        <v>0.5</v>
      </c>
      <c r="E18" s="3775" t="s">
        <v>2127</v>
      </c>
      <c r="F18" s="3776"/>
      <c r="G18" s="3776"/>
      <c r="H18" s="3776"/>
      <c r="I18" s="3776"/>
      <c r="K18" s="301" t="s">
        <v>1285</v>
      </c>
      <c r="L18" s="301">
        <f>IF(C1="",'数据-汇总表'!E3,SUMIF(项目类型,C1,'数据-汇总表'!E17:E26)+SUMIF(项目类型,C1,'数据-汇总表'!I17:I26))</f>
        <v>31986.760000000002</v>
      </c>
      <c r="M18" s="301">
        <f>IF(C1="",'数据-汇总表'!E3,SUMIF(项目类型,C1,'数据-汇总表'!E17:E26))</f>
        <v>31986.760000000002</v>
      </c>
    </row>
    <row r="19" spans="1:36" ht="14.4">
      <c r="A19" s="1757" t="s">
        <v>1286</v>
      </c>
      <c r="B19" s="1758" t="s">
        <v>1287</v>
      </c>
      <c r="C19" s="133">
        <f ca="1">SUMIF(INDIRECT("'"&amp;C4&amp;"'"&amp;"!A:A"),'结果表-地下商业1'!B19,INDIRECT("'"&amp;C4&amp;"'"&amp;"!B:B"))</f>
        <v>46956</v>
      </c>
      <c r="D19" s="134">
        <f ca="1">SUMIF(INDIRECT("'"&amp;D4&amp;"'"&amp;"!A:A"),'结果表-地下商业1'!B19,INDIRECT("'"&amp;D4&amp;"'"&amp;"!B:B"))</f>
        <v>60200</v>
      </c>
      <c r="E19" s="1757" t="s">
        <v>1288</v>
      </c>
      <c r="F19" s="1758" t="s">
        <v>1287</v>
      </c>
      <c r="G19" s="135">
        <f ca="1">ROUND(C19*$C$18+D19*$D$18,0)</f>
        <v>53578</v>
      </c>
      <c r="H19" s="1759" t="s">
        <v>1289</v>
      </c>
      <c r="I19" s="128"/>
      <c r="K19" s="301" t="s">
        <v>1290</v>
      </c>
      <c r="L19" s="301">
        <f>IF(C1="",'数据-汇总表'!D3,SUMIF(项目类型,C1,'数据-汇总表'!D17:D26)+SUMIF(项目类型,C1,'数据-汇总表'!H17:H27))</f>
        <v>4042.34</v>
      </c>
      <c r="M19" s="301">
        <f>IF(C1="",'数据-汇总表'!D3,SUMIF(项目类型,C1,'数据-汇总表'!D17:D26))</f>
        <v>4042.34</v>
      </c>
    </row>
    <row r="20" spans="1:36" ht="14.4">
      <c r="A20" s="1760"/>
      <c r="B20" s="1022" t="s">
        <v>1291</v>
      </c>
      <c r="C20" s="136">
        <f ca="1">SUMIF(INDIRECT("'"&amp;C4&amp;"'"&amp;"!A:A"),'结果表-地下商业1'!B20,INDIRECT("'"&amp;C4&amp;"'"&amp;"!B:B"))</f>
        <v>14680</v>
      </c>
      <c r="D20" s="137">
        <f ca="1">SUMIF(INDIRECT("'"&amp;D4&amp;"'"&amp;"!A:A"),'结果表-地下商业1'!B20,INDIRECT("'"&amp;D4&amp;"'"&amp;"!B:B"))</f>
        <v>18820</v>
      </c>
      <c r="E20" s="1760"/>
      <c r="F20" s="1022" t="s">
        <v>1291</v>
      </c>
      <c r="G20" s="138">
        <f ca="1">ROUND(C20*$C$18+D20*$D$18,0)</f>
        <v>16750</v>
      </c>
      <c r="H20" s="804" t="s">
        <v>1292</v>
      </c>
      <c r="I20" s="128"/>
    </row>
    <row r="21" spans="1:36" ht="15" customHeight="1" thickBot="1">
      <c r="A21" s="824"/>
      <c r="B21" s="1761" t="s">
        <v>1293</v>
      </c>
      <c r="C21" s="717">
        <f ca="1">ROUND(C19*10000/L19,0)</f>
        <v>116160</v>
      </c>
      <c r="D21" s="718">
        <f ca="1">ROUND(D19*10000/L19,0)</f>
        <v>148924</v>
      </c>
      <c r="E21" s="824"/>
      <c r="F21" s="1761" t="s">
        <v>1293</v>
      </c>
      <c r="G21" s="139">
        <f ca="1">ROUND(G19*10000/L19,0)</f>
        <v>132542</v>
      </c>
      <c r="H21" s="1762" t="s">
        <v>1292</v>
      </c>
      <c r="I21" s="128"/>
    </row>
    <row r="22" spans="1:36" ht="15" thickBot="1">
      <c r="A22" s="1684" t="s">
        <v>1294</v>
      </c>
      <c r="B22" s="1763"/>
      <c r="C22" s="1764"/>
      <c r="D22" s="719">
        <f ca="1">IF(C19&lt;D19,D19/C19-1,C19/D19-1)</f>
        <v>0.28205128205128216</v>
      </c>
      <c r="E22" s="128"/>
      <c r="F22" s="128"/>
      <c r="G22" s="128"/>
      <c r="H22" s="128"/>
      <c r="I22" s="128"/>
    </row>
    <row r="23" spans="1:36" ht="13.8" thickBot="1">
      <c r="A23" s="1743"/>
      <c r="B23" s="1743"/>
      <c r="C23" s="1743"/>
      <c r="D23" s="1743"/>
      <c r="E23" s="128"/>
      <c r="F23" s="128"/>
      <c r="G23" s="128"/>
      <c r="H23" s="128"/>
      <c r="I23" s="128"/>
    </row>
    <row r="24" spans="1:36" ht="14.4">
      <c r="A24" s="3768" t="s">
        <v>1295</v>
      </c>
      <c r="B24" s="1758" t="s">
        <v>1287</v>
      </c>
      <c r="C24" s="135">
        <f>IF(B30=0,0,D30)</f>
        <v>0</v>
      </c>
      <c r="D24" s="1765"/>
      <c r="E24" s="128"/>
      <c r="F24" s="128"/>
      <c r="G24" s="128"/>
      <c r="H24" s="128"/>
      <c r="I24" s="128"/>
    </row>
    <row r="25" spans="1:36" ht="14.4">
      <c r="A25" s="3769"/>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3.8">
      <c r="A27" s="1767"/>
      <c r="B27" s="141">
        <v>0</v>
      </c>
      <c r="C27" s="141">
        <v>0</v>
      </c>
      <c r="D27" s="142">
        <f>ROUND(C27*B27/10000,0)</f>
        <v>0</v>
      </c>
      <c r="E27" s="128"/>
      <c r="F27" s="128"/>
      <c r="G27" s="128"/>
      <c r="H27" s="128"/>
      <c r="I27" s="128"/>
    </row>
    <row r="28" spans="1:36" ht="13.8">
      <c r="A28" s="1767"/>
      <c r="B28" s="141"/>
      <c r="C28" s="141"/>
      <c r="D28" s="142"/>
      <c r="E28" s="128"/>
      <c r="F28" s="128"/>
      <c r="G28" s="128"/>
      <c r="H28" s="128"/>
      <c r="I28" s="128"/>
    </row>
    <row r="29" spans="1:36" ht="13.8">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69" t="s">
        <v>1301</v>
      </c>
      <c r="B32" s="1770"/>
      <c r="C32" s="143">
        <f ca="1">IF(D32="总价",G19-C24,G20-C25)</f>
        <v>53578</v>
      </c>
      <c r="D32" s="1771" t="s">
        <v>3437</v>
      </c>
      <c r="E32" s="128"/>
      <c r="F32" s="128"/>
      <c r="G32" s="128"/>
      <c r="H32" s="128"/>
      <c r="I32" s="128"/>
    </row>
    <row r="33" spans="1:15" ht="14.4">
      <c r="A33" s="782" t="s">
        <v>1302</v>
      </c>
      <c r="B33" s="1772"/>
      <c r="C33" s="1773" t="s">
        <v>3444</v>
      </c>
      <c r="D33" s="1774" t="s">
        <v>3416</v>
      </c>
      <c r="E33" s="1775" t="s">
        <v>1303</v>
      </c>
      <c r="F33" s="1776" t="str">
        <f>IF(D32="楼面单价","取值（单价）","取值（总价）")</f>
        <v>取值（总价）</v>
      </c>
      <c r="G33" s="128"/>
      <c r="H33" s="128"/>
      <c r="I33" s="128"/>
    </row>
    <row r="34" spans="1:15" ht="14.4">
      <c r="A34" s="1777"/>
      <c r="B34" s="1778" t="s">
        <v>1304</v>
      </c>
      <c r="C34" s="147">
        <f ca="1">IF(C33="自定义",F34,C32-C35)</f>
        <v>26735</v>
      </c>
      <c r="D34" s="857">
        <f ca="1">IF(C33="自定义",ROUND(C34/C32,3),IF(C33="收益比率",SUMIF(INDIRECT("'"&amp;D33&amp;"'"&amp;"!b:b"),"土地收益比率",INDIRECT("'"&amp;D33&amp;"'"&amp;"!c:c")),SUMIF(INDIRECT("'"&amp;D33&amp;"'"&amp;"!b:b"),"土地成本比率",INDIRECT("'"&amp;D33&amp;"'"&amp;"!c:c"))))</f>
        <v>0.499</v>
      </c>
      <c r="E34" s="1779" t="s">
        <v>1305</v>
      </c>
      <c r="F34" s="1326"/>
      <c r="G34" s="128"/>
      <c r="H34" s="128"/>
      <c r="I34" s="128"/>
    </row>
    <row r="35" spans="1:15" ht="15" thickBot="1">
      <c r="A35" s="1780"/>
      <c r="B35" s="1781" t="s">
        <v>1306</v>
      </c>
      <c r="C35" s="1166">
        <f ca="1">IF(C33="自定义",F35,ROUND(C32*D35,0))</f>
        <v>26843</v>
      </c>
      <c r="D35" s="1167">
        <f ca="1">IF(C33="自定义",ROUND(C35/C32,3),IF(C33="收益比率",SUMIF(INDIRECT("'"&amp;D33&amp;"'"&amp;"!b:b"),"建筑物收益比率",INDIRECT("'"&amp;D33&amp;"'"&amp;"!c:c")),SUMIF(INDIRECT("'"&amp;D33&amp;"'"&amp;"!b:b"),"建筑物成本比率",INDIRECT("'"&amp;D33&amp;"'"&amp;"!c:c"))))</f>
        <v>0.501</v>
      </c>
      <c r="E35" s="1782" t="s">
        <v>1307</v>
      </c>
      <c r="F35" s="153"/>
      <c r="G35" s="128"/>
      <c r="H35" s="128"/>
      <c r="I35" s="128"/>
    </row>
    <row r="36" spans="1:15" ht="15" thickBot="1">
      <c r="A36" s="3745" t="s">
        <v>1308</v>
      </c>
      <c r="B36" s="1783" t="s">
        <v>1309</v>
      </c>
      <c r="C36" s="144"/>
      <c r="D36" s="1784"/>
      <c r="E36" s="1785"/>
      <c r="F36" s="1786"/>
      <c r="G36" s="128"/>
      <c r="H36" s="128"/>
      <c r="I36" s="128"/>
    </row>
    <row r="37" spans="1:15" ht="15" thickBot="1">
      <c r="A37" s="3746"/>
      <c r="B37" s="1670" t="s">
        <v>1310</v>
      </c>
      <c r="C37" s="146"/>
      <c r="D37" s="1135"/>
      <c r="E37" s="1135"/>
      <c r="F37" s="1786"/>
      <c r="G37" s="128"/>
      <c r="H37" s="128"/>
      <c r="I37" s="128"/>
    </row>
    <row r="38" spans="1:15" ht="15" thickBot="1">
      <c r="A38" s="3747"/>
      <c r="B38" s="1787" t="s">
        <v>1311</v>
      </c>
      <c r="C38" s="672"/>
      <c r="D38" s="1788" t="s">
        <v>1312</v>
      </c>
      <c r="E38" s="1135"/>
      <c r="F38" s="1786"/>
      <c r="G38" s="128"/>
      <c r="H38" s="128"/>
      <c r="I38" s="128"/>
    </row>
    <row r="39" spans="1:15" ht="14.4">
      <c r="A39" s="1760" t="s">
        <v>1313</v>
      </c>
      <c r="B39" s="1789" t="s">
        <v>1314</v>
      </c>
      <c r="C39" s="1790" t="s">
        <v>1315</v>
      </c>
      <c r="D39" s="1790" t="s">
        <v>1316</v>
      </c>
      <c r="E39" s="1791" t="s">
        <v>1317</v>
      </c>
      <c r="F39" s="1786"/>
      <c r="G39" s="128"/>
      <c r="H39" s="128"/>
      <c r="I39" s="128"/>
    </row>
    <row r="40" spans="1:15" ht="13.8">
      <c r="A40" s="1792" t="s">
        <v>1318</v>
      </c>
      <c r="B40" s="148"/>
      <c r="C40" s="149"/>
      <c r="D40" s="149"/>
      <c r="E40" s="150"/>
      <c r="F40" s="1786"/>
      <c r="G40" s="128"/>
      <c r="H40" s="128"/>
      <c r="I40" s="128"/>
    </row>
    <row r="41" spans="1:15" ht="13.8">
      <c r="A41" s="1792" t="s">
        <v>1319</v>
      </c>
      <c r="B41" s="148"/>
      <c r="C41" s="149"/>
      <c r="D41" s="149"/>
      <c r="E41" s="150"/>
      <c r="F41" s="1786"/>
      <c r="G41" s="128"/>
      <c r="H41" s="128"/>
      <c r="I41" s="128"/>
    </row>
    <row r="42" spans="1:15" ht="14.4" thickBot="1">
      <c r="A42" s="1793"/>
      <c r="B42" s="151"/>
      <c r="C42" s="152"/>
      <c r="D42" s="152"/>
      <c r="E42" s="153"/>
      <c r="F42" s="1786"/>
      <c r="G42" s="128"/>
      <c r="H42" s="128"/>
      <c r="I42" s="128"/>
    </row>
    <row r="43" spans="1:15" ht="13.2">
      <c r="A43" s="1573"/>
      <c r="B43" s="1573"/>
      <c r="C43" s="1573"/>
      <c r="D43" s="1573"/>
      <c r="E43" s="1573"/>
      <c r="F43" s="1794"/>
      <c r="G43" s="1794"/>
      <c r="H43" s="1794"/>
      <c r="I43" s="1795"/>
    </row>
    <row r="44" spans="1:15" ht="17.399999999999999">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65" t="s">
        <v>1322</v>
      </c>
      <c r="B45" s="3766"/>
      <c r="C45" s="3767"/>
      <c r="D45" s="154">
        <f ca="1">ROUND(H101*F45,0)</f>
        <v>53578</v>
      </c>
      <c r="E45" s="155" t="s">
        <v>1323</v>
      </c>
      <c r="F45" s="156">
        <v>1</v>
      </c>
      <c r="G45" s="157" t="s">
        <v>1324</v>
      </c>
      <c r="H45" s="128"/>
      <c r="I45" s="128"/>
      <c r="J45" s="3685" t="s">
        <v>1325</v>
      </c>
      <c r="K45" s="3685"/>
      <c r="L45" s="3685"/>
      <c r="M45" s="3685"/>
      <c r="N45" s="3685"/>
      <c r="O45" s="3685"/>
    </row>
    <row r="46" spans="1:15" ht="14.25" customHeight="1">
      <c r="A46" s="3762" t="s">
        <v>1326</v>
      </c>
      <c r="B46" s="3763"/>
      <c r="C46" s="3763"/>
      <c r="D46" s="3763"/>
      <c r="E46" s="3763"/>
      <c r="F46" s="3763"/>
      <c r="G46" s="3764"/>
      <c r="H46" s="1802"/>
      <c r="I46" s="158"/>
      <c r="J46" s="3463">
        <v>1</v>
      </c>
      <c r="K46" s="3686" t="s">
        <v>1327</v>
      </c>
      <c r="L46" s="3686"/>
      <c r="M46" s="3687"/>
      <c r="N46" s="3687"/>
      <c r="O46" s="3687"/>
    </row>
    <row r="47" spans="1:15" ht="12" customHeight="1">
      <c r="A47" s="159" t="s">
        <v>1328</v>
      </c>
      <c r="B47" s="160"/>
      <c r="C47" s="161"/>
      <c r="D47" s="1083" t="s">
        <v>1329</v>
      </c>
      <c r="E47" s="301" t="s">
        <v>1330</v>
      </c>
      <c r="F47" s="162" t="s">
        <v>1331</v>
      </c>
      <c r="G47" s="2542" t="s">
        <v>1332</v>
      </c>
      <c r="H47" s="2543"/>
      <c r="I47" s="158"/>
      <c r="J47" s="3463">
        <v>2</v>
      </c>
      <c r="K47" s="3686" t="s">
        <v>1333</v>
      </c>
      <c r="L47" s="3686"/>
      <c r="M47" s="3688">
        <f>'数据-取费表'!B2</f>
        <v>45086</v>
      </c>
      <c r="N47" s="3688"/>
      <c r="O47" s="3688"/>
    </row>
    <row r="48" spans="1:15" ht="26.4">
      <c r="A48" s="3748" t="s">
        <v>1334</v>
      </c>
      <c r="B48" s="3749"/>
      <c r="C48" s="3749"/>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686" t="s">
        <v>1336</v>
      </c>
      <c r="L48" s="3686"/>
      <c r="M48" s="3689">
        <f ca="1">H101</f>
        <v>53578</v>
      </c>
      <c r="N48" s="3689"/>
      <c r="O48" s="3689"/>
    </row>
    <row r="49" spans="1:35" ht="25.5" customHeight="1">
      <c r="A49" s="3458" t="s">
        <v>1337</v>
      </c>
      <c r="B49" s="3734" t="s">
        <v>1338</v>
      </c>
      <c r="C49" s="3734"/>
      <c r="D49" s="1586">
        <v>0</v>
      </c>
      <c r="E49" s="323" t="s">
        <v>1339</v>
      </c>
      <c r="F49" s="3448" t="s">
        <v>28</v>
      </c>
      <c r="G49" s="3717"/>
      <c r="H49" s="2306" t="s">
        <v>2130</v>
      </c>
      <c r="I49" s="2307"/>
      <c r="J49" s="3463">
        <v>4</v>
      </c>
      <c r="K49" s="3686" t="str">
        <f>IF(项目基本情况!E8="房地产抵押价值","房地产抵押价值","抵押担保权已注销时的房地产抵押价值")</f>
        <v>房地产抵押价值</v>
      </c>
      <c r="L49" s="3686"/>
      <c r="M49" s="3689">
        <f ca="1">IF(项目基本情况!E8="房地产抵押价值",H107,H109)</f>
        <v>53578</v>
      </c>
      <c r="N49" s="3689"/>
      <c r="O49" s="3689"/>
    </row>
    <row r="50" spans="1:35" ht="25.5" customHeight="1">
      <c r="A50" s="2547"/>
      <c r="B50" s="3734" t="s">
        <v>1340</v>
      </c>
      <c r="C50" s="3734"/>
      <c r="D50" s="2548"/>
      <c r="E50" s="331"/>
      <c r="F50" s="3448"/>
      <c r="G50" s="3718"/>
      <c r="H50" s="2308" t="s">
        <v>2131</v>
      </c>
      <c r="I50" s="2307"/>
      <c r="J50" s="3685" t="s">
        <v>1341</v>
      </c>
      <c r="K50" s="3685"/>
      <c r="L50" s="3685"/>
      <c r="M50" s="3685"/>
      <c r="N50" s="3685"/>
      <c r="O50" s="3685"/>
    </row>
    <row r="51" spans="1:35" ht="20.399999999999999" customHeight="1">
      <c r="A51" s="2549"/>
      <c r="B51" s="3734" t="s">
        <v>1342</v>
      </c>
      <c r="C51" s="3734"/>
      <c r="D51" s="1083"/>
      <c r="E51" s="326"/>
      <c r="F51" s="3448"/>
      <c r="G51" s="3719"/>
      <c r="H51" s="2308" t="s">
        <v>2132</v>
      </c>
      <c r="I51" s="2307"/>
      <c r="J51" s="3462" t="s">
        <v>1343</v>
      </c>
      <c r="K51" s="3686" t="s">
        <v>1344</v>
      </c>
      <c r="L51" s="3686"/>
      <c r="M51" s="3462" t="s">
        <v>1345</v>
      </c>
      <c r="N51" s="3462" t="s">
        <v>1346</v>
      </c>
      <c r="O51" s="3462" t="s">
        <v>1347</v>
      </c>
    </row>
    <row r="52" spans="1:35" ht="24" customHeight="1">
      <c r="A52" s="3453" t="s">
        <v>1348</v>
      </c>
      <c r="B52" s="3734" t="s">
        <v>1349</v>
      </c>
      <c r="C52" s="3734"/>
      <c r="D52" s="1083">
        <f ca="1">ROUND(D45*'数据-取费表'!B41/(1+'数据-取费表'!C42),0)</f>
        <v>2857</v>
      </c>
      <c r="E52" s="3454" t="s">
        <v>1350</v>
      </c>
      <c r="F52" s="2550">
        <f>'数据-取费表'!B41</f>
        <v>5.6000000000000001E-2</v>
      </c>
      <c r="G52" s="2551"/>
      <c r="H52" s="2540"/>
      <c r="I52" s="1803"/>
      <c r="J52" s="3463">
        <v>1</v>
      </c>
      <c r="K52" s="3711" t="s">
        <v>1351</v>
      </c>
      <c r="L52" s="3711"/>
      <c r="M52" s="2521" t="b">
        <f>D48</f>
        <v>0</v>
      </c>
      <c r="N52" s="3463" t="str">
        <f>E48</f>
        <v>销售额×税（费）率</v>
      </c>
      <c r="O52" s="2522">
        <f>F48</f>
        <v>5.6000000000000001E-2</v>
      </c>
    </row>
    <row r="53" spans="1:35" ht="12" customHeight="1">
      <c r="A53" s="3453" t="s">
        <v>1352</v>
      </c>
      <c r="B53" s="3735" t="s">
        <v>2286</v>
      </c>
      <c r="C53" s="3736"/>
      <c r="D53" s="1083">
        <f ca="1">ROUND(D45*'数据-取费表'!B41/(1+'数据-取费表'!C42),0)</f>
        <v>2857</v>
      </c>
      <c r="E53" s="3454" t="s">
        <v>1350</v>
      </c>
      <c r="F53" s="2550">
        <f>'数据-取费表'!B41</f>
        <v>5.6000000000000001E-2</v>
      </c>
      <c r="G53" s="2551"/>
      <c r="H53" s="2540"/>
      <c r="I53" s="1803"/>
      <c r="J53" s="3463">
        <v>2</v>
      </c>
      <c r="K53" s="3711" t="s">
        <v>1353</v>
      </c>
      <c r="L53" s="3711"/>
      <c r="M53" s="2521">
        <f t="shared" ref="M53:O54" ca="1" si="0">D55</f>
        <v>27</v>
      </c>
      <c r="N53" s="3463" t="str">
        <f t="shared" si="0"/>
        <v>销售额×税（费）率</v>
      </c>
      <c r="O53" s="2522" t="str">
        <f t="shared" si="0"/>
        <v>免征</v>
      </c>
    </row>
    <row r="54" spans="1:35" ht="12" customHeight="1">
      <c r="A54" s="3453" t="s">
        <v>1354</v>
      </c>
      <c r="B54" s="3735" t="s">
        <v>2287</v>
      </c>
      <c r="C54" s="3736"/>
      <c r="D54" s="1083">
        <f ca="1">C68</f>
        <v>2858</v>
      </c>
      <c r="E54" s="326" t="s">
        <v>1355</v>
      </c>
      <c r="F54" s="2550">
        <f>'数据-取费表'!B41</f>
        <v>5.6000000000000001E-2</v>
      </c>
      <c r="G54" s="2551"/>
      <c r="H54" s="2552"/>
      <c r="I54" s="1803"/>
      <c r="J54" s="3463">
        <v>3</v>
      </c>
      <c r="K54" s="3711" t="s">
        <v>1356</v>
      </c>
      <c r="L54" s="3711"/>
      <c r="M54" s="2521">
        <f t="shared" ca="1" si="0"/>
        <v>30326</v>
      </c>
      <c r="N54" s="3463" t="str">
        <f t="shared" si="0"/>
        <v>增值额×税（费）率</v>
      </c>
      <c r="O54" s="2523" t="str">
        <f t="shared" si="0"/>
        <v>免征</v>
      </c>
    </row>
    <row r="55" spans="1:35" ht="24" customHeight="1">
      <c r="A55" s="3771" t="s">
        <v>1357</v>
      </c>
      <c r="B55" s="3749"/>
      <c r="C55" s="3749"/>
      <c r="D55" s="3465">
        <f ca="1">IF(H55="个人住宅",0,ROUND(D45*I55,0))</f>
        <v>27</v>
      </c>
      <c r="E55" s="3454" t="s">
        <v>1358</v>
      </c>
      <c r="F55" s="2550" t="str">
        <f>IF(H55="正常",I55,"免征")</f>
        <v>免征</v>
      </c>
      <c r="G55" s="2551"/>
      <c r="H55" s="2546"/>
      <c r="I55" s="164">
        <f>'数据-取费表'!B49</f>
        <v>5.0000000000000001E-4</v>
      </c>
      <c r="J55" s="3463">
        <f>IF(H59="非个人房产","",4)</f>
        <v>4</v>
      </c>
      <c r="K55" s="3711" t="str">
        <f>IF(H59="非个人房产","——","个人所得税")</f>
        <v>个人所得税</v>
      </c>
      <c r="L55" s="3711"/>
      <c r="M55" s="2524">
        <f ca="1">D59</f>
        <v>510</v>
      </c>
      <c r="N55" s="3464" t="str">
        <f>E59</f>
        <v>差额计税</v>
      </c>
      <c r="O55" s="2525">
        <f>F59</f>
        <v>0.01</v>
      </c>
    </row>
    <row r="56" spans="1:35" ht="25.2">
      <c r="A56" s="3771" t="s">
        <v>1359</v>
      </c>
      <c r="B56" s="3749"/>
      <c r="C56" s="3749"/>
      <c r="D56" s="3465">
        <f ca="1">IF(H56="个人住宅",D57,D58)</f>
        <v>30326</v>
      </c>
      <c r="E56" s="3454" t="s">
        <v>1360</v>
      </c>
      <c r="F56" s="2550" t="str">
        <f>IF(H56="正常",F58,"免征")</f>
        <v>免征</v>
      </c>
      <c r="G56" s="2553" t="s">
        <v>1361</v>
      </c>
      <c r="H56" s="2554"/>
      <c r="I56" s="1804"/>
      <c r="J56" s="3463" t="str">
        <f>IF(项目基本情况!K6="上海银行",IF(J55="",4,J55+1),"")</f>
        <v/>
      </c>
      <c r="K56" s="3692" t="str">
        <f>IF(项目基本情况!K6="上海银行","其他处置费用","")</f>
        <v/>
      </c>
      <c r="L56" s="3693"/>
      <c r="M56" s="2521" t="str">
        <f>IF(项目基本情况!K6="上海银行",M69,"")</f>
        <v/>
      </c>
      <c r="N56" s="3692" t="str">
        <f>IF(项目基本情况!K6="上海银行","包含处置中涉及的律师、诉讼、拍卖、评估等费用","")</f>
        <v/>
      </c>
      <c r="O56" s="3695"/>
    </row>
    <row r="57" spans="1:35" ht="13.2">
      <c r="A57" s="3453" t="s">
        <v>1337</v>
      </c>
      <c r="B57" s="3735" t="s">
        <v>1362</v>
      </c>
      <c r="C57" s="3736"/>
      <c r="D57" s="1586">
        <v>0</v>
      </c>
      <c r="E57" s="323" t="s">
        <v>1339</v>
      </c>
      <c r="F57" s="301"/>
      <c r="G57" s="2551"/>
      <c r="H57" s="2555"/>
      <c r="I57" s="1804"/>
      <c r="J57" s="3711">
        <f>IF(AND(J55="",J56=""),4,IF(项目基本情况!K6="上海银行",'结果表-地下商业1'!J56+1,'结果表-地下商业1'!J55+1))</f>
        <v>5</v>
      </c>
      <c r="K57" s="3711" t="s">
        <v>1363</v>
      </c>
      <c r="L57" s="2526" t="s">
        <v>1364</v>
      </c>
      <c r="M57" s="2527"/>
      <c r="N57" s="2528">
        <f ca="1">SUMIF(M52:M56,"&lt;9e307")</f>
        <v>30863</v>
      </c>
      <c r="O57" s="2529"/>
      <c r="P57" s="2686">
        <f ca="1">N57/M49</f>
        <v>0.5760386725894957</v>
      </c>
    </row>
    <row r="58" spans="1:35" ht="25.2">
      <c r="A58" s="3453" t="s">
        <v>1348</v>
      </c>
      <c r="B58" s="3735" t="s">
        <v>1365</v>
      </c>
      <c r="C58" s="3734"/>
      <c r="D58" s="3465">
        <f ca="1">IF(H58="转让取得",C81,C97)</f>
        <v>30326</v>
      </c>
      <c r="E58" s="3454" t="s">
        <v>1360</v>
      </c>
      <c r="F58" s="301" t="s">
        <v>28</v>
      </c>
      <c r="G58" s="2551"/>
      <c r="H58" s="2554"/>
      <c r="I58" s="1804"/>
      <c r="J58" s="3711"/>
      <c r="K58" s="3711"/>
      <c r="L58" s="2526" t="s">
        <v>1366</v>
      </c>
      <c r="M58" s="2530"/>
      <c r="N58" s="2531" t="str">
        <f ca="1">NUMBERSTRING(INT(N57*10000),2)&amp;"元整"</f>
        <v>叁亿零捌佰陆拾叁万元整</v>
      </c>
      <c r="O58" s="2532"/>
    </row>
    <row r="59" spans="1:35" ht="24.6" thickBot="1">
      <c r="A59" s="3715" t="s">
        <v>1367</v>
      </c>
      <c r="B59" s="3716"/>
      <c r="C59" s="3716"/>
      <c r="D59" s="2556">
        <f ca="1">IF(H59="非个人房产","——",IF(H59="个人住宅（满五唯一有凭证）",0,IF(H59="个人其他（无凭证）",ROUND(D45*F59,0),ROUND(C67*F59,0))))</f>
        <v>510</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13">
        <f>J57+1</f>
        <v>6</v>
      </c>
      <c r="K59" s="3711" t="s">
        <v>1368</v>
      </c>
      <c r="L59" s="3463" t="s">
        <v>1364</v>
      </c>
      <c r="M59" s="2533"/>
      <c r="N59" s="2534">
        <f ca="1">M49-N57</f>
        <v>22715</v>
      </c>
      <c r="O59" s="2535"/>
    </row>
    <row r="60" spans="1:35" ht="12" customHeight="1">
      <c r="A60" s="1805"/>
      <c r="B60" s="1743"/>
      <c r="C60" s="1743"/>
      <c r="D60" s="1743"/>
      <c r="E60" s="1574"/>
      <c r="F60" s="1804"/>
      <c r="G60" s="1804"/>
      <c r="H60" s="1806"/>
      <c r="I60" s="128"/>
      <c r="J60" s="3714"/>
      <c r="K60" s="3711"/>
      <c r="L60" s="2526" t="s">
        <v>1366</v>
      </c>
      <c r="M60" s="2530"/>
      <c r="N60" s="2531" t="str">
        <f ca="1">NUMBERSTRING(INT(N59*10000),2)&amp;"元整"</f>
        <v>贰亿贰仟柒佰壹拾伍万元整</v>
      </c>
      <c r="O60" s="2532"/>
    </row>
    <row r="61" spans="1:35" ht="13.8" thickBot="1">
      <c r="A61" s="3770" t="s">
        <v>1369</v>
      </c>
      <c r="B61" s="3770"/>
      <c r="C61" s="3770"/>
      <c r="D61" s="3770"/>
      <c r="E61" s="3770"/>
      <c r="F61" s="1804"/>
      <c r="G61" s="1804"/>
      <c r="H61" s="1806"/>
      <c r="I61" s="128"/>
      <c r="J61" s="3463">
        <f>J59+1</f>
        <v>7</v>
      </c>
      <c r="K61" s="3711" t="s">
        <v>1370</v>
      </c>
      <c r="L61" s="3711"/>
      <c r="M61" s="2536"/>
      <c r="N61" s="2537">
        <f ca="1">ROUND(N59*10000/'数据-汇总表'!E3,0)</f>
        <v>2289</v>
      </c>
      <c r="O61" s="2538"/>
    </row>
    <row r="62" spans="1:35" ht="13.2">
      <c r="A62" s="3730" t="s">
        <v>1371</v>
      </c>
      <c r="B62" s="3731"/>
      <c r="C62" s="3457"/>
      <c r="D62" s="3457" t="s">
        <v>1372</v>
      </c>
      <c r="E62" s="165" t="s">
        <v>1373</v>
      </c>
      <c r="F62" s="1804"/>
      <c r="G62" s="1804"/>
      <c r="H62" s="1806"/>
      <c r="I62" s="128"/>
    </row>
    <row r="63" spans="1:35" ht="13.2">
      <c r="A63" s="172" t="s">
        <v>330</v>
      </c>
      <c r="B63" s="166" t="s">
        <v>1374</v>
      </c>
      <c r="C63" s="2560">
        <f ca="1">ROUND((C64+C65)/(1+'数据-取费表'!C42),0)</f>
        <v>51027</v>
      </c>
      <c r="D63" s="166"/>
      <c r="E63" s="167"/>
      <c r="F63" s="1804"/>
      <c r="G63" s="1804"/>
      <c r="H63" s="1806"/>
      <c r="I63" s="128"/>
      <c r="J63" s="3694" t="s">
        <v>1375</v>
      </c>
      <c r="K63" s="3466" t="s">
        <v>1376</v>
      </c>
      <c r="L63" s="3466">
        <f ca="1">IF(M49&gt;10000,M49*0.5%,IF(AND(M49&gt;1000,M49&lt;=10000),M49*1%,IF(AND(M49&gt;100,M49&lt;=1000),M49*3%,IF(AND(M49&gt;10,M49&lt;=100),M49*5%,M49*8%))))</f>
        <v>267.89</v>
      </c>
      <c r="M63" s="301">
        <f ca="1">ROUND(L63,1)</f>
        <v>267.89999999999998</v>
      </c>
      <c r="N63" s="2539"/>
      <c r="Z63" s="1748"/>
      <c r="AI63" s="1749"/>
    </row>
    <row r="64" spans="1:35" ht="14.25" customHeight="1">
      <c r="A64" s="168" t="s">
        <v>325</v>
      </c>
      <c r="B64" s="169" t="s">
        <v>1377</v>
      </c>
      <c r="C64" s="2561">
        <f ca="1">D45</f>
        <v>53578</v>
      </c>
      <c r="D64" s="169" t="s">
        <v>26</v>
      </c>
      <c r="E64" s="171"/>
      <c r="F64" s="1804"/>
      <c r="G64" s="1804"/>
      <c r="H64" s="1806"/>
      <c r="I64" s="128"/>
      <c r="J64" s="3694"/>
      <c r="K64" s="3466" t="s">
        <v>1378</v>
      </c>
      <c r="L64" s="3466">
        <f ca="1">IF(M49&gt;2000,M49*0.5%,IF(AND(M49&gt;1000,M49&lt;=2000),M49*0.6%,IF(AND(M49&gt;500,M49&lt;=1000),M49*0.7%,IF(AND(M49&gt;200,M49&lt;=500),M49*0.8%,IF(AND(M49&gt;100,M49&lt;=200),M49*0.9%,IF(AND(M49&gt;50,M49&lt;=100),M49*1%,IF(AND(M49&gt;20,M49&lt;=50),M49*1.5%,IF(AND(M49&gt;10,M49&lt;=20),M49*2%,IF(AND(M49&gt;1,M49&lt;=10),M49*2.5%)))))))))</f>
        <v>267.89</v>
      </c>
      <c r="M64" s="301">
        <f t="shared" ref="M64:M65" ca="1" si="1">ROUND(L64,1)</f>
        <v>267.89999999999998</v>
      </c>
      <c r="N64" s="2540" t="s">
        <v>1379</v>
      </c>
      <c r="Z64" s="1748"/>
      <c r="AI64" s="1749"/>
    </row>
    <row r="65" spans="1:35" ht="14.25" customHeight="1">
      <c r="A65" s="168" t="s">
        <v>326</v>
      </c>
      <c r="B65" s="169" t="s">
        <v>1380</v>
      </c>
      <c r="C65" s="2562"/>
      <c r="D65" s="169"/>
      <c r="E65" s="171"/>
      <c r="F65" s="1804"/>
      <c r="G65" s="1804"/>
      <c r="H65" s="1806"/>
      <c r="I65" s="128"/>
      <c r="J65" s="3694"/>
      <c r="K65" s="3466" t="s">
        <v>1381</v>
      </c>
      <c r="L65" s="3466">
        <f ca="1">IF(M49&gt;1000,M49*0.1%,IF(AND(M49&gt;500,M49&lt;=1000),M49*0.5%,IF(AND(M49&gt;50,M49&lt;=500),M49*1%,IF(AND(M49&gt;1,M49&lt;=50),M49*1.5%))))</f>
        <v>53.578000000000003</v>
      </c>
      <c r="M65" s="301">
        <f t="shared" ca="1" si="1"/>
        <v>53.6</v>
      </c>
      <c r="N65" s="2540" t="s">
        <v>1379</v>
      </c>
      <c r="Z65" s="1748"/>
      <c r="AI65" s="1749"/>
    </row>
    <row r="66" spans="1:35" ht="14.25" customHeight="1">
      <c r="A66" s="172" t="s">
        <v>327</v>
      </c>
      <c r="B66" s="173" t="s">
        <v>1382</v>
      </c>
      <c r="C66" s="2563"/>
      <c r="D66" s="173" t="s">
        <v>26</v>
      </c>
      <c r="E66" s="1334" t="s">
        <v>667</v>
      </c>
      <c r="F66" s="1804"/>
      <c r="G66" s="1804"/>
      <c r="H66" s="1806"/>
      <c r="I66" s="128"/>
      <c r="J66" s="3694"/>
      <c r="K66" s="3466" t="s">
        <v>1383</v>
      </c>
      <c r="L66" s="3466">
        <f ca="1">M49*0.5%</f>
        <v>267.89</v>
      </c>
      <c r="M66" s="301">
        <f ca="1">IF(L66&gt;0.5,0.5,ROUND(L66,0))</f>
        <v>0.5</v>
      </c>
      <c r="N66" s="2540" t="s">
        <v>1384</v>
      </c>
      <c r="Z66" s="1748"/>
      <c r="AI66" s="1749"/>
    </row>
    <row r="67" spans="1:35" ht="14.25" customHeight="1">
      <c r="A67" s="172" t="s">
        <v>328</v>
      </c>
      <c r="B67" s="173" t="s">
        <v>1385</v>
      </c>
      <c r="C67" s="2564">
        <f ca="1">C63-C66</f>
        <v>51027</v>
      </c>
      <c r="D67" s="169" t="s">
        <v>26</v>
      </c>
      <c r="E67" s="171"/>
      <c r="F67" s="1804"/>
      <c r="G67" s="1804"/>
      <c r="H67" s="1806"/>
      <c r="I67" s="128"/>
      <c r="J67" s="3694"/>
      <c r="K67" s="3466" t="s">
        <v>1386</v>
      </c>
      <c r="L67" s="3466">
        <f ca="1">IF(M49&gt;=10000,(8.25+(M49-10000)*0.01%),IF(AND(M49&gt;=8000,M49&lt;10000),(7.85+(M49-8000)*0.02%),IF(AND(M49&gt;=5000,M49&lt;8000),(6.65+(M49-5000)*0.04%),IF(AND(M49&gt;=2000,M49&lt;5000),(4.25+(PM49-2000)*0.08%),IF(AND(M49&gt;=1000,M49&lt;2000),(2.75+(M49-1000)*0.15%),IF(AND(M49&gt;=100,M49&lt;1000),(0.5+(M49-100)*0.25%),IF(AND(M49&gt;0,M49&lt;100),M49*0.5%)))))))</f>
        <v>12.607800000000001</v>
      </c>
      <c r="M67" s="301">
        <f ca="1">ROUND(L67*0.9,1)</f>
        <v>11.3</v>
      </c>
      <c r="N67" s="2539"/>
      <c r="Z67" s="1748"/>
      <c r="AI67" s="1749"/>
    </row>
    <row r="68" spans="1:35" ht="14.25" customHeight="1" thickBot="1">
      <c r="A68" s="175" t="s">
        <v>329</v>
      </c>
      <c r="B68" s="176" t="s">
        <v>1387</v>
      </c>
      <c r="C68" s="2565">
        <f ca="1">IF(C67&lt;=0,0,ROUND(C67*D68,0))</f>
        <v>2858</v>
      </c>
      <c r="D68" s="2566">
        <f>'数据-取费表'!B41</f>
        <v>5.6000000000000001E-2</v>
      </c>
      <c r="E68" s="177"/>
      <c r="F68" s="1804"/>
      <c r="G68" s="1804"/>
      <c r="H68" s="1806"/>
      <c r="I68" s="128"/>
      <c r="J68" s="3694"/>
      <c r="K68" s="3466" t="s">
        <v>1388</v>
      </c>
      <c r="L68" s="3466">
        <f ca="1">IF(M49&gt;10000,M49*0.5%,IF(AND(M49&gt;5000,M49&lt;=10000),M49*1%,IF(AND(M49&gt;1000,M49&lt;=5000),M49*2%,IF(AND(M49&gt;200,M49&lt;=1000),M49*3%,M49*5%))))</f>
        <v>267.89</v>
      </c>
      <c r="M68" s="301">
        <f ca="1">ROUND(L68,1)</f>
        <v>267.89999999999998</v>
      </c>
      <c r="N68" s="2539"/>
      <c r="Z68" s="1748"/>
      <c r="AI68" s="1749"/>
    </row>
    <row r="69" spans="1:35" s="1768" customFormat="1" ht="16.5" customHeight="1">
      <c r="A69" s="1807"/>
      <c r="B69" s="1808"/>
      <c r="C69" s="1809"/>
      <c r="D69" s="1810"/>
      <c r="E69" s="1811"/>
      <c r="F69" s="1574"/>
      <c r="G69" s="1574"/>
      <c r="H69" s="1573"/>
      <c r="I69" s="1743"/>
      <c r="J69" s="3694"/>
      <c r="K69" s="3466" t="s">
        <v>1389</v>
      </c>
      <c r="L69" s="3466"/>
      <c r="M69" s="301">
        <f ca="1">ROUND(SUM(M63:M68),0)</f>
        <v>869</v>
      </c>
      <c r="N69" s="2541">
        <f ca="1">M69/M49</f>
        <v>1.6219343760498713E-2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738" t="s">
        <v>1390</v>
      </c>
      <c r="B70" s="3739"/>
      <c r="C70" s="3739"/>
      <c r="D70" s="3739"/>
      <c r="E70" s="3739"/>
      <c r="F70" s="3739"/>
      <c r="G70" s="3739"/>
      <c r="H70" s="373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730" t="s">
        <v>1371</v>
      </c>
      <c r="B71" s="3731"/>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2" t="s">
        <v>330</v>
      </c>
      <c r="B72" s="173" t="s">
        <v>1391</v>
      </c>
      <c r="C72" s="2564">
        <f ca="1">ROUND(D45/(1+'数据-取费表'!C42),0)</f>
        <v>51027</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2" t="s">
        <v>327</v>
      </c>
      <c r="B73" s="162" t="s">
        <v>1392</v>
      </c>
      <c r="C73" s="2564">
        <f ca="1">C74+C78</f>
        <v>306</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35" t="s">
        <v>1398</v>
      </c>
      <c r="F76" s="3734"/>
      <c r="G76" s="3734"/>
      <c r="H76" s="373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306</v>
      </c>
      <c r="D78" s="2573">
        <f>'数据-取费表'!B43</f>
        <v>6.000000000000001E-3</v>
      </c>
      <c r="E78" s="3727" t="s">
        <v>1402</v>
      </c>
      <c r="F78" s="3728"/>
      <c r="G78" s="3728"/>
      <c r="H78" s="372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2" t="s">
        <v>328</v>
      </c>
      <c r="B79" s="173" t="s">
        <v>1403</v>
      </c>
      <c r="C79" s="2564">
        <f ca="1">C72-C73</f>
        <v>50721</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165.75490196078431</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5" t="s">
        <v>336</v>
      </c>
      <c r="B81" s="176" t="s">
        <v>1405</v>
      </c>
      <c r="C81" s="2575">
        <f ca="1">ROUND(IF(C79&lt;=0,0,IF(C80&gt;=200%,C79*60%-C73*35%,IF(C80&gt;=100%,C79*50%-C73*15%,IF(C80&gt;=50%,C79*40%-C73*5%,IF(C80&lt;50%,C79*30%,0))))),0)</f>
        <v>30326</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738" t="s">
        <v>1406</v>
      </c>
      <c r="B83" s="3739"/>
      <c r="C83" s="3739"/>
      <c r="D83" s="3739"/>
      <c r="E83" s="3739"/>
      <c r="F83" s="3739"/>
      <c r="G83" s="3739"/>
      <c r="H83" s="373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730" t="s">
        <v>1371</v>
      </c>
      <c r="B84" s="3731"/>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2" t="s">
        <v>330</v>
      </c>
      <c r="B85" s="173" t="s">
        <v>1391</v>
      </c>
      <c r="C85" s="2564">
        <f ca="1">ROUND(D45/(1+'数据-取费表'!C42),0)</f>
        <v>51027</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2" t="s">
        <v>327</v>
      </c>
      <c r="B86" s="162" t="s">
        <v>1392</v>
      </c>
      <c r="C86" s="2564">
        <f ca="1">IF(H88="仅含出让金",C87+C90+C91+C92+C93+C94,C87+C91+C92+C93+C94)</f>
        <v>306</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8" t="s">
        <v>326</v>
      </c>
      <c r="B90" s="169" t="s">
        <v>1412</v>
      </c>
      <c r="C90" s="2578"/>
      <c r="D90" s="2573"/>
      <c r="E90" s="192" t="str">
        <f>IF(H88="-","土地取得成本中已包含该笔费用"," ")</f>
        <v xml:space="preserve"> </v>
      </c>
      <c r="F90" s="3451"/>
      <c r="G90" s="3696" t="s">
        <v>2125</v>
      </c>
      <c r="H90" s="3697"/>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727" t="s">
        <v>1415</v>
      </c>
      <c r="F91" s="3728"/>
      <c r="G91" s="372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727" t="s">
        <v>1418</v>
      </c>
      <c r="F92" s="3728"/>
      <c r="G92" s="3728"/>
      <c r="H92" s="3729"/>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306</v>
      </c>
      <c r="D93" s="2573">
        <f>'数据-取费表'!B43</f>
        <v>6.000000000000001E-3</v>
      </c>
      <c r="E93" s="3727" t="s">
        <v>1402</v>
      </c>
      <c r="F93" s="3728"/>
      <c r="G93" s="3728"/>
      <c r="H93" s="372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72" t="s">
        <v>1422</v>
      </c>
      <c r="F94" s="3773"/>
      <c r="G94" s="3773"/>
      <c r="H94" s="377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2" t="s">
        <v>328</v>
      </c>
      <c r="B95" s="173" t="s">
        <v>1403</v>
      </c>
      <c r="C95" s="2564">
        <f ca="1">ROUND(C85-C86,0)</f>
        <v>50721</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165.75490196078431</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5" t="s">
        <v>336</v>
      </c>
      <c r="B97" s="176" t="s">
        <v>1405</v>
      </c>
      <c r="C97" s="2575">
        <f ca="1">ROUND(IF(C95&lt;=0,0,IF(C96&gt;=200%,C95*60%-C86*35%,IF(C96&gt;=100%,C95*50%-C86*15%,IF(C96&gt;=50%,C95*40%-C86*5%,IF(C96&lt;50%,C95*30%,0))))),0)</f>
        <v>30326</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7" t="s">
        <v>1424</v>
      </c>
      <c r="B100" s="3678"/>
      <c r="C100" s="3678"/>
      <c r="D100" s="3712"/>
      <c r="E100" s="3678" t="s">
        <v>1425</v>
      </c>
      <c r="F100" s="3678"/>
      <c r="G100" s="3678"/>
      <c r="H100" s="3712"/>
      <c r="I100" s="128"/>
    </row>
    <row r="101" spans="1:35" ht="18.75" customHeight="1">
      <c r="A101" s="3720" t="s">
        <v>1426</v>
      </c>
      <c r="B101" s="3721"/>
      <c r="C101" s="2581" t="str">
        <f>C4</f>
        <v>成本法-地下商业1</v>
      </c>
      <c r="D101" s="2582" t="str">
        <f>D4</f>
        <v>收益法-地下商业1</v>
      </c>
      <c r="E101" s="3690" t="s">
        <v>1427</v>
      </c>
      <c r="F101" s="3691"/>
      <c r="G101" s="1823" t="s">
        <v>1428</v>
      </c>
      <c r="H101" s="2591">
        <f ca="1">H118</f>
        <v>53578</v>
      </c>
      <c r="I101" s="128"/>
    </row>
    <row r="102" spans="1:35" ht="18.75" customHeight="1">
      <c r="A102" s="3722" t="s">
        <v>1429</v>
      </c>
      <c r="B102" s="2580" t="s">
        <v>1428</v>
      </c>
      <c r="C102" s="2581">
        <f ca="1">IF(D32="楼面单价",ROUND(C19,0),C19)</f>
        <v>46956</v>
      </c>
      <c r="D102" s="2582">
        <f ca="1">IF(D32="楼面单价",ROUND(D19,0),D19)</f>
        <v>60200</v>
      </c>
      <c r="E102" s="3690"/>
      <c r="F102" s="3691"/>
      <c r="G102" s="1823" t="s">
        <v>1430</v>
      </c>
      <c r="H102" s="2551">
        <f ca="1">I118</f>
        <v>16750</v>
      </c>
      <c r="I102" s="128"/>
    </row>
    <row r="103" spans="1:35" ht="42.75" customHeight="1">
      <c r="A103" s="3722"/>
      <c r="B103" s="2580" t="s">
        <v>1430</v>
      </c>
      <c r="C103" s="2583">
        <f ca="1">C20</f>
        <v>14680</v>
      </c>
      <c r="D103" s="2584">
        <f ca="1">D20</f>
        <v>18820</v>
      </c>
      <c r="E103" s="3683" t="s">
        <v>1431</v>
      </c>
      <c r="F103" s="3684"/>
      <c r="G103" s="1824" t="s">
        <v>1432</v>
      </c>
      <c r="H103" s="2591">
        <f>IF(D36="正常操作",H104+H105+H106,H105+H106)</f>
        <v>0</v>
      </c>
      <c r="I103" s="128"/>
    </row>
    <row r="104" spans="1:35" ht="18.75" customHeight="1">
      <c r="A104" s="3722" t="s">
        <v>1433</v>
      </c>
      <c r="B104" s="2585" t="s">
        <v>1428</v>
      </c>
      <c r="C104" s="2586">
        <f ca="1">H118</f>
        <v>53578</v>
      </c>
      <c r="D104" s="2587"/>
      <c r="E104" s="1670" t="s">
        <v>1434</v>
      </c>
      <c r="F104" s="1662"/>
      <c r="G104" s="1824" t="s">
        <v>1432</v>
      </c>
      <c r="H104" s="2592">
        <f>IF(D36="同一抵押权人同一抵押物续贷",C36&amp;"（续贷，未扣减，详见特别提示）",C36)</f>
        <v>0</v>
      </c>
      <c r="I104" s="128"/>
    </row>
    <row r="105" spans="1:35" ht="18.75" customHeight="1" thickBot="1">
      <c r="A105" s="3732"/>
      <c r="B105" s="2588" t="s">
        <v>1430</v>
      </c>
      <c r="C105" s="2589">
        <f ca="1">I118</f>
        <v>16750</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3" t="str">
        <f>IF(项目基本情况!E8="已注销","——","3.房地产抵押价值")</f>
        <v>3.房地产抵押价值</v>
      </c>
      <c r="F107" s="3691"/>
      <c r="G107" s="1823" t="s">
        <v>1428</v>
      </c>
      <c r="H107" s="2591">
        <f ca="1">IF(E107="——","——",H101-H103)</f>
        <v>53578</v>
      </c>
      <c r="I107" s="128"/>
    </row>
    <row r="108" spans="1:35" ht="18.75" customHeight="1">
      <c r="A108" s="128"/>
      <c r="B108" s="128"/>
      <c r="C108" s="128"/>
      <c r="D108" s="128"/>
      <c r="E108" s="3723"/>
      <c r="F108" s="3691"/>
      <c r="G108" s="1823" t="s">
        <v>1430</v>
      </c>
      <c r="H108" s="2551">
        <f ca="1">IF(H107=H101,H102,ROUND(H107*10000/'数据-汇总表'!E3,0))</f>
        <v>16750</v>
      </c>
      <c r="I108" s="128"/>
    </row>
    <row r="109" spans="1:35" ht="18.75" customHeight="1">
      <c r="A109" s="128"/>
      <c r="B109" s="128"/>
      <c r="C109" s="128"/>
      <c r="D109" s="128"/>
      <c r="E109" s="3723" t="str">
        <f>IF(项目基本情况!E8="已注销及未注销","4.抵押担保权已注销时的房地产抵押价值",IF(项目基本情况!E8="已注销","3.抵押担保权已注销时的房地产抵押价值","——"))</f>
        <v>——</v>
      </c>
      <c r="F109" s="3691"/>
      <c r="G109" s="1823" t="s">
        <v>1428</v>
      </c>
      <c r="H109" s="2594" t="str">
        <f>IF(E109="——","——",H101-H105-H106)</f>
        <v>——</v>
      </c>
      <c r="I109" s="128"/>
    </row>
    <row r="110" spans="1:35" ht="18.75" customHeight="1">
      <c r="A110" s="128"/>
      <c r="B110" s="128"/>
      <c r="C110" s="128"/>
      <c r="D110" s="128"/>
      <c r="E110" s="3723"/>
      <c r="F110" s="3691"/>
      <c r="G110" s="1823" t="s">
        <v>1430</v>
      </c>
      <c r="H110" s="2551" t="str">
        <f>IF(H109="——","——",ROUND(H109*10000/'数据-汇总表'!E3,0))</f>
        <v>——</v>
      </c>
      <c r="I110" s="128"/>
    </row>
    <row r="111" spans="1:35" ht="18.75" customHeight="1">
      <c r="A111" s="128"/>
      <c r="B111" s="128"/>
      <c r="C111" s="128"/>
      <c r="D111" s="128"/>
      <c r="E111" s="3724" t="str">
        <f>IF(项目基本情况!E9="抵押净值",IF(OR(项目基本情况!E8="已注销",项目基本情况!E8="房地产抵押价值"),"4.抵押净值","5.抵押净值"),"——")</f>
        <v>——</v>
      </c>
      <c r="F111" s="3710"/>
      <c r="G111" s="1823" t="s">
        <v>1428</v>
      </c>
      <c r="H111" s="2591" t="str">
        <f>IF(E111="——","——",N59)</f>
        <v>——</v>
      </c>
      <c r="I111" s="128"/>
    </row>
    <row r="112" spans="1:35" ht="18.75" customHeight="1" thickBot="1">
      <c r="A112" s="128"/>
      <c r="B112" s="128"/>
      <c r="C112" s="128"/>
      <c r="D112" s="128"/>
      <c r="E112" s="3725"/>
      <c r="F112" s="3726"/>
      <c r="G112" s="1826" t="s">
        <v>1430</v>
      </c>
      <c r="H112" s="2595" t="str">
        <f>IF(E111="——","——",N61)</f>
        <v>——</v>
      </c>
      <c r="I112" s="128"/>
    </row>
    <row r="113" spans="1:27" ht="18.75" customHeight="1">
      <c r="A113" s="128"/>
      <c r="B113" s="128"/>
      <c r="C113" s="128"/>
      <c r="D113" s="128"/>
      <c r="E113" s="3733" t="s">
        <v>1436</v>
      </c>
      <c r="F113" s="3733"/>
      <c r="G113" s="3733"/>
      <c r="H113" s="3733"/>
      <c r="I113" s="128"/>
    </row>
    <row r="114" spans="1:27" ht="3.75" customHeight="1">
      <c r="A114" s="1743"/>
      <c r="B114" s="1743"/>
      <c r="C114" s="1743"/>
      <c r="D114" s="1743"/>
      <c r="E114" s="1805"/>
      <c r="F114" s="1805"/>
      <c r="G114" s="1805"/>
      <c r="H114" s="1805"/>
      <c r="I114" s="1743"/>
    </row>
    <row r="115" spans="1:27" ht="18.75" customHeight="1">
      <c r="A115" s="3741" t="s">
        <v>1438</v>
      </c>
      <c r="B115" s="3742"/>
      <c r="C115" s="3742"/>
      <c r="D115" s="3742"/>
      <c r="E115" s="3742"/>
      <c r="F115" s="3742"/>
      <c r="G115" s="3742"/>
      <c r="H115" s="3742"/>
      <c r="I115" s="3743"/>
    </row>
    <row r="116" spans="1:27" ht="27" customHeight="1">
      <c r="A116" s="3698" t="s">
        <v>1439</v>
      </c>
      <c r="B116" s="3702" t="s">
        <v>1440</v>
      </c>
      <c r="C116" s="3702" t="s">
        <v>1441</v>
      </c>
      <c r="D116" s="3708" t="s">
        <v>1442</v>
      </c>
      <c r="E116" s="3709"/>
      <c r="F116" s="3740" t="s">
        <v>1443</v>
      </c>
      <c r="G116" s="3740"/>
      <c r="H116" s="3698" t="s">
        <v>1444</v>
      </c>
      <c r="I116" s="3698"/>
    </row>
    <row r="117" spans="1:27" ht="18.75" customHeight="1">
      <c r="A117" s="3698"/>
      <c r="B117" s="3703"/>
      <c r="C117" s="3703"/>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31986.760000000002</v>
      </c>
      <c r="C118" s="3452">
        <f>M19</f>
        <v>4042.34</v>
      </c>
      <c r="D118" s="3452">
        <f ca="1">ROUND(IF(D32="总价",C34,E118*B118/10000),0)</f>
        <v>26735</v>
      </c>
      <c r="E118" s="3452">
        <f ca="1">ROUND(IF(C33="自定义",IF(D32="楼面单价",C34,D118*10000/B118),I118-G118),0)</f>
        <v>8358</v>
      </c>
      <c r="F118" s="3452">
        <f ca="1">ROUND(IF(D32="总价",C35,G118*B118/10000),0)</f>
        <v>26843</v>
      </c>
      <c r="G118" s="3452">
        <f ca="1">ROUND(IF(D32="楼面单价",C35,F118*10000/B118),0)</f>
        <v>8392</v>
      </c>
      <c r="H118" s="3452">
        <f ca="1">ROUND(IF(D32="总价",C32,I118*B118/10000),0)</f>
        <v>53578</v>
      </c>
      <c r="I118" s="3452">
        <f ca="1">ROUND(IF(D32="楼面单价",C32,H118*10000/B118),0)</f>
        <v>16750</v>
      </c>
    </row>
    <row r="119" spans="1:27" ht="18.75" customHeight="1">
      <c r="A119" s="3698" t="s">
        <v>1448</v>
      </c>
      <c r="B119" s="3698"/>
      <c r="C119" s="3698"/>
      <c r="D119" s="3704" t="str">
        <f ca="1">NUMBERSTRING(INT(D118*10000),2)&amp;"元整"</f>
        <v>贰亿陆仟柒佰叁拾伍万元整</v>
      </c>
      <c r="E119" s="3705"/>
      <c r="F119" s="3704" t="str">
        <f ca="1">NUMBERSTRING(INT(F118*10000),2)&amp;"元整"</f>
        <v>贰亿陆仟捌佰肆拾叁万元整</v>
      </c>
      <c r="G119" s="3705"/>
      <c r="H119" s="3704" t="str">
        <f ca="1">NUMBERSTRING(INT(H118*10000),2)&amp;"元整"</f>
        <v>伍亿叁仟伍佰柒拾捌万元整</v>
      </c>
      <c r="I119" s="3705"/>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04" t="s">
        <v>1448</v>
      </c>
      <c r="B121" s="3706"/>
      <c r="C121" s="3705"/>
      <c r="D121" s="3704" t="str">
        <f>IF(D120=0,"零元整",NUMBERSTRING(INT(D120*10000),2)&amp;"元整")</f>
        <v>零元整</v>
      </c>
      <c r="E121" s="3706"/>
      <c r="F121" s="3706"/>
      <c r="G121" s="3706"/>
      <c r="H121" s="3706"/>
      <c r="I121" s="3705"/>
      <c r="AA121" s="723"/>
    </row>
    <row r="122" spans="1:27" ht="18.75" customHeight="1">
      <c r="A122" s="3710" t="str">
        <f>IF(项目基本情况!B9="房地产市场价值","",MID(E107,3,LEN(E107)-2))</f>
        <v>房地产抵押价值</v>
      </c>
      <c r="B122" s="3710"/>
      <c r="C122" s="3710"/>
      <c r="D122" s="3699">
        <f ca="1">H107</f>
        <v>53578</v>
      </c>
      <c r="E122" s="3700"/>
      <c r="F122" s="3700"/>
      <c r="G122" s="3700"/>
      <c r="H122" s="3700"/>
      <c r="I122" s="3701"/>
      <c r="AA122" s="723"/>
    </row>
    <row r="123" spans="1:27" ht="18.75" customHeight="1">
      <c r="A123" s="3698" t="s">
        <v>1448</v>
      </c>
      <c r="B123" s="3698"/>
      <c r="C123" s="3698"/>
      <c r="D123" s="3704" t="str">
        <f ca="1">NUMBERSTRING(INT(D122*10000),2)&amp;"元整"</f>
        <v>伍亿叁仟伍佰柒拾捌万元整</v>
      </c>
      <c r="E123" s="3706"/>
      <c r="F123" s="3706"/>
      <c r="G123" s="3706"/>
      <c r="H123" s="3706"/>
      <c r="I123" s="3705"/>
      <c r="AA123" s="723"/>
    </row>
    <row r="124" spans="1:27" ht="18.75" customHeight="1">
      <c r="A124" s="3710" t="str">
        <f>IF(项目基本情况!B9="房地产市场价值","",MID(E109,3,LEN(E109)-2))</f>
        <v/>
      </c>
      <c r="B124" s="3710"/>
      <c r="C124" s="3710"/>
      <c r="D124" s="3699" t="str">
        <f>H109</f>
        <v>——</v>
      </c>
      <c r="E124" s="3700"/>
      <c r="F124" s="3700"/>
      <c r="G124" s="3700"/>
      <c r="H124" s="3700"/>
      <c r="I124" s="3701"/>
      <c r="AA124" s="723"/>
    </row>
    <row r="125" spans="1:27" ht="18.75" customHeight="1">
      <c r="A125" s="3698" t="s">
        <v>1448</v>
      </c>
      <c r="B125" s="3698"/>
      <c r="C125" s="3698"/>
      <c r="D125" s="3704" t="e">
        <f>NUMBERSTRING(INT(D124*10000),2)&amp;"元整"</f>
        <v>#VALUE!</v>
      </c>
      <c r="E125" s="3706"/>
      <c r="F125" s="3706"/>
      <c r="G125" s="3706"/>
      <c r="H125" s="3706"/>
      <c r="I125" s="3705"/>
      <c r="AA125" s="723"/>
    </row>
    <row r="126" spans="1:27" ht="18.75" customHeight="1">
      <c r="A126" s="3710" t="str">
        <f>IF(项目基本情况!B9="房地产市场价值","",MID(E111,3,LEN(E111)-2))</f>
        <v/>
      </c>
      <c r="B126" s="3710"/>
      <c r="C126" s="3710"/>
      <c r="D126" s="3699" t="str">
        <f>H111</f>
        <v>——</v>
      </c>
      <c r="E126" s="3700"/>
      <c r="F126" s="3700"/>
      <c r="G126" s="3700"/>
      <c r="H126" s="3700"/>
      <c r="I126" s="3701"/>
      <c r="AA126" s="723"/>
    </row>
    <row r="127" spans="1:27" ht="18.75" customHeight="1">
      <c r="A127" s="3698" t="s">
        <v>1448</v>
      </c>
      <c r="B127" s="3698"/>
      <c r="C127" s="3698"/>
      <c r="D127" s="3704" t="e">
        <f>NUMBERSTRING(INT(D126*10000),2)&amp;"元整"</f>
        <v>#VALUE!</v>
      </c>
      <c r="E127" s="3706"/>
      <c r="F127" s="3706"/>
      <c r="G127" s="3706"/>
      <c r="H127" s="3706"/>
      <c r="I127" s="3705"/>
      <c r="AA127" s="723"/>
    </row>
    <row r="128" spans="1:27" ht="21.75" customHeight="1">
      <c r="A128" s="3707" t="s">
        <v>1449</v>
      </c>
      <c r="B128" s="3707"/>
      <c r="C128" s="3707"/>
      <c r="D128" s="3707"/>
      <c r="E128" s="3707"/>
      <c r="F128" s="3707"/>
      <c r="G128" s="3707"/>
      <c r="H128" s="3707"/>
      <c r="I128" s="3707"/>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1457</v>
      </c>
      <c r="B1" s="1466" t="s">
        <v>3399</v>
      </c>
      <c r="C1" s="197"/>
      <c r="D1" s="197"/>
      <c r="E1" s="197"/>
      <c r="F1" s="197"/>
      <c r="G1" s="1122">
        <f>MATCH(B1,'数据-取费表'!A6:A16,0)+5</f>
        <v>7</v>
      </c>
    </row>
    <row r="2" spans="1:9" s="199" customFormat="1" ht="18" customHeight="1">
      <c r="A2" s="200" t="s">
        <v>1458</v>
      </c>
      <c r="B2" s="201">
        <f ca="1">IF(D2="——",C52,C52-E2)</f>
        <v>46956</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14680</v>
      </c>
      <c r="C3" s="198" t="s">
        <v>1461</v>
      </c>
      <c r="D3" s="198"/>
      <c r="E3" s="198"/>
      <c r="F3" s="198"/>
      <c r="G3" s="198"/>
    </row>
    <row r="4" spans="1:9" s="207" customFormat="1" ht="16.2">
      <c r="A4" s="204" t="s">
        <v>1462</v>
      </c>
      <c r="B4" s="205"/>
      <c r="C4" s="205"/>
      <c r="D4" s="205"/>
      <c r="E4" s="205"/>
      <c r="F4" s="205"/>
      <c r="G4" s="206"/>
    </row>
    <row r="5" spans="1:9" s="213" customFormat="1" ht="13.5" customHeight="1">
      <c r="A5" s="254" t="s">
        <v>337</v>
      </c>
      <c r="B5" s="209" t="s">
        <v>1464</v>
      </c>
      <c r="C5" s="210">
        <f ca="1">C6+C7+C8</f>
        <v>15571</v>
      </c>
      <c r="D5" s="210" t="s">
        <v>1465</v>
      </c>
      <c r="E5" s="211" t="s">
        <v>1466</v>
      </c>
      <c r="F5" s="211" t="s">
        <v>1467</v>
      </c>
      <c r="G5" s="212"/>
    </row>
    <row r="6" spans="1:9" s="213" customFormat="1" ht="13.5" customHeight="1">
      <c r="A6" s="774" t="s">
        <v>1468</v>
      </c>
      <c r="B6" s="214" t="s">
        <v>1469</v>
      </c>
      <c r="C6" s="215">
        <f>基准地价修正!E37+基准地价修正!E38</f>
        <v>14489</v>
      </c>
      <c r="D6" s="216"/>
      <c r="E6" s="217"/>
      <c r="F6" s="217"/>
      <c r="G6" s="218"/>
    </row>
    <row r="7" spans="1:9" s="213" customFormat="1" ht="13.5" customHeight="1">
      <c r="A7" s="774" t="s">
        <v>347</v>
      </c>
      <c r="B7" s="214" t="s">
        <v>1471</v>
      </c>
      <c r="C7" s="219">
        <f>ROUND(C6*F7,0)</f>
        <v>442</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640</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640</v>
      </c>
      <c r="D10" s="841">
        <f ca="1">IF(B1="",'数据-汇总表'!E6,IF(INDIRECT("'数据-取费表'!c"&amp;$G$1)="住宅",INDIRECT("'数据-取费表'!s"&amp;$G$1),INDIRECT("'数据-取费表'!k"&amp;$G$1)+INDIRECT("'数据-取费表'!s"&amp;$G$1)))</f>
        <v>31986.760000000002</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31986.760000000002</v>
      </c>
      <c r="E19" s="210">
        <f>'数据-取费表'!B31</f>
        <v>200</v>
      </c>
      <c r="F19" s="230"/>
      <c r="G19" s="1852" t="s">
        <v>3435</v>
      </c>
    </row>
    <row r="20" spans="1:7" s="213" customFormat="1" ht="13.5" customHeight="1">
      <c r="A20" s="254" t="s">
        <v>1489</v>
      </c>
      <c r="B20" s="209" t="s">
        <v>1490</v>
      </c>
      <c r="C20" s="231">
        <f ca="1">ROUND((C5+C19)*F20,0)</f>
        <v>467</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2049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2020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29</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6.4">
      <c r="A27" s="254" t="s">
        <v>1508</v>
      </c>
      <c r="B27" s="243" t="s">
        <v>1509</v>
      </c>
      <c r="C27" s="244">
        <f ca="1">C28</f>
        <v>3208</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3208</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23432</v>
      </c>
      <c r="D31" s="229"/>
      <c r="E31" s="210"/>
      <c r="F31" s="249"/>
      <c r="G31" s="233" t="s">
        <v>1518</v>
      </c>
    </row>
    <row r="32" spans="1:7" s="207" customFormat="1" ht="16.2">
      <c r="A32" s="251" t="s">
        <v>1519</v>
      </c>
      <c r="B32" s="252"/>
      <c r="C32" s="252"/>
      <c r="D32" s="252"/>
      <c r="E32" s="252"/>
      <c r="F32" s="252"/>
      <c r="G32" s="253"/>
    </row>
    <row r="33" spans="1:7" s="213" customFormat="1" ht="13.5" customHeight="1">
      <c r="A33" s="254" t="s">
        <v>337</v>
      </c>
      <c r="B33" s="209" t="s">
        <v>1520</v>
      </c>
      <c r="C33" s="255">
        <f ca="1">SUM(C34:C38)</f>
        <v>17673</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15993</v>
      </c>
      <c r="D34" s="216"/>
      <c r="E34" s="219"/>
      <c r="F34" s="256">
        <f ca="1">IF('数据-取费表'!B24=0,1,IF(B1="",'数据-取费表'!N16,INDIRECT("'数据-取费表'!n"&amp;$G$1)))</f>
        <v>1</v>
      </c>
      <c r="G34" s="218" t="s">
        <v>1522</v>
      </c>
    </row>
    <row r="35" spans="1:7" ht="13.5" customHeight="1">
      <c r="A35" s="776" t="s">
        <v>351</v>
      </c>
      <c r="B35" s="214" t="s">
        <v>1523</v>
      </c>
      <c r="C35" s="219">
        <f ca="1">ROUND(C34*F35,0)</f>
        <v>800</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640</v>
      </c>
      <c r="D37" s="216">
        <f ca="1">D19</f>
        <v>31986.760000000002</v>
      </c>
      <c r="E37" s="248">
        <f>'数据-取费表'!B35</f>
        <v>200</v>
      </c>
      <c r="F37" s="258"/>
      <c r="G37" s="260" t="s">
        <v>1528</v>
      </c>
    </row>
    <row r="38" spans="1:7" ht="13.5" customHeight="1">
      <c r="A38" s="776" t="s">
        <v>354</v>
      </c>
      <c r="B38" s="214" t="s">
        <v>1529</v>
      </c>
      <c r="C38" s="219">
        <f ca="1">ROUND(C34*F38,0)</f>
        <v>240</v>
      </c>
      <c r="D38" s="219"/>
      <c r="E38" s="219"/>
      <c r="F38" s="258">
        <f>'数据-取费表'!B36</f>
        <v>1.4999999999999999E-2</v>
      </c>
      <c r="G38" s="218" t="s">
        <v>1524</v>
      </c>
    </row>
    <row r="39" spans="1:7" s="213" customFormat="1" ht="13.5" customHeight="1">
      <c r="A39" s="254" t="s">
        <v>1487</v>
      </c>
      <c r="B39" s="209" t="s">
        <v>1490</v>
      </c>
      <c r="C39" s="231">
        <f ca="1">ROUND(C33*F20,0)</f>
        <v>530</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1144</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1111</v>
      </c>
      <c r="D42" s="237"/>
      <c r="E42" s="237"/>
      <c r="F42" s="238"/>
      <c r="G42" s="3796" t="s">
        <v>1540</v>
      </c>
    </row>
    <row r="43" spans="1:7" ht="13.5" customHeight="1">
      <c r="A43" s="776" t="s">
        <v>347</v>
      </c>
      <c r="B43" s="214" t="s">
        <v>1541</v>
      </c>
      <c r="C43" s="237">
        <f ca="1">ROUND(IF('数据-取费表'!B22&lt;=1,C39*F22*'数据-取费表'!B21/2,C39*(POWER((1+F22),'数据-取费表'!B21/2)-1)),0)</f>
        <v>33</v>
      </c>
      <c r="D43" s="237"/>
      <c r="E43" s="237"/>
      <c r="F43" s="238"/>
      <c r="G43" s="3797"/>
    </row>
    <row r="44" spans="1:7" ht="13.5" customHeight="1">
      <c r="A44" s="776" t="s">
        <v>348</v>
      </c>
      <c r="B44" s="214" t="s">
        <v>1505</v>
      </c>
      <c r="C44" s="237">
        <f ca="1">ROUND(IF('数据-取费表'!B22&lt;=1,C40*F22*'数据-取费表'!B21/2,C40*(POWER((1+F22),'数据-取费表'!B21/2)-1)),4)</f>
        <v>1.9E-3</v>
      </c>
      <c r="D44" s="237"/>
      <c r="E44" s="237"/>
      <c r="F44" s="238"/>
      <c r="G44" s="3798"/>
    </row>
    <row r="45" spans="1:7" s="213" customFormat="1" ht="13.5" customHeight="1">
      <c r="A45" s="254" t="s">
        <v>1496</v>
      </c>
      <c r="B45" s="243" t="s">
        <v>1509</v>
      </c>
      <c r="C45" s="244">
        <f ca="1">C46</f>
        <v>3641</v>
      </c>
      <c r="D45" s="234">
        <f ca="1">C47</f>
        <v>6.0000000000000001E-3</v>
      </c>
      <c r="E45" s="235" t="s">
        <v>1535</v>
      </c>
      <c r="F45" s="245">
        <f ca="1">F27</f>
        <v>0.2</v>
      </c>
      <c r="G45" s="246" t="s">
        <v>1544</v>
      </c>
    </row>
    <row r="46" spans="1:7" s="213" customFormat="1" ht="13.5" customHeight="1">
      <c r="A46" s="776" t="s">
        <v>346</v>
      </c>
      <c r="B46" s="247" t="s">
        <v>1545</v>
      </c>
      <c r="C46" s="248">
        <f ca="1">ROUND((C33+C39)*F27,0)</f>
        <v>3641</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25295</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23524</v>
      </c>
      <c r="D51" s="231"/>
      <c r="E51" s="231"/>
      <c r="F51" s="263"/>
      <c r="G51" s="233" t="s">
        <v>1556</v>
      </c>
    </row>
    <row r="52" spans="1:7" s="207" customFormat="1" ht="16.8" thickBot="1">
      <c r="A52" s="264" t="s">
        <v>1557</v>
      </c>
      <c r="B52" s="265"/>
      <c r="C52" s="266">
        <f ca="1">C31+C51</f>
        <v>46956</v>
      </c>
      <c r="D52" s="265"/>
      <c r="E52" s="265"/>
      <c r="F52" s="265"/>
      <c r="G52" s="267"/>
    </row>
    <row r="55" spans="1:7" ht="15">
      <c r="B55" s="269" t="s">
        <v>1558</v>
      </c>
      <c r="C55" s="270"/>
    </row>
    <row r="56" spans="1:7">
      <c r="B56" s="272" t="s">
        <v>798</v>
      </c>
      <c r="C56" s="274">
        <f ca="1">1-C57</f>
        <v>0.499</v>
      </c>
    </row>
    <row r="57" spans="1:7">
      <c r="B57" s="272" t="s">
        <v>799</v>
      </c>
      <c r="C57" s="273">
        <f ca="1">ROUND(C51/C52,3)</f>
        <v>0.501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0" zoomScale="70" zoomScaleNormal="70" zoomScaleSheetLayoutView="70" workbookViewId="0">
      <selection activeCell="F40" sqref="F40:F42"/>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4" customWidth="1"/>
    <col min="12" max="12" width="16.33203125" style="257" customWidth="1"/>
    <col min="13" max="13" width="13" style="257"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7"/>
  </cols>
  <sheetData>
    <row r="1" spans="1:37" s="292" customFormat="1" ht="21.6">
      <c r="A1" s="1371" t="s">
        <v>873</v>
      </c>
      <c r="B1" s="711"/>
      <c r="C1" s="1375" t="s">
        <v>3399</v>
      </c>
      <c r="D1" s="1358" t="s">
        <v>43</v>
      </c>
      <c r="E1" s="1359" t="s">
        <v>674</v>
      </c>
      <c r="F1" s="1058">
        <f ca="1">J53</f>
        <v>27.58</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60200</v>
      </c>
      <c r="C2" s="1383" t="s">
        <v>801</v>
      </c>
      <c r="D2" s="1383"/>
      <c r="E2" s="1384"/>
      <c r="F2" s="1385"/>
      <c r="G2" s="2702"/>
      <c r="H2" s="2691"/>
      <c r="I2" s="2691"/>
      <c r="J2" s="2691"/>
      <c r="K2" s="2692"/>
      <c r="L2" s="2691"/>
      <c r="M2" s="2691"/>
    </row>
    <row r="3" spans="1:37" ht="18" customHeight="1" thickBot="1">
      <c r="A3" s="1386" t="s">
        <v>802</v>
      </c>
      <c r="B3" s="1387">
        <f ca="1">IF(ISERROR(B2*10000/F43),0,ROUND(B2*10000/F43,0))</f>
        <v>18820</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3924</v>
      </c>
      <c r="D5" s="1360" t="s">
        <v>689</v>
      </c>
      <c r="E5" s="1067"/>
      <c r="F5" s="1068"/>
      <c r="G5" s="1380"/>
      <c r="H5" s="298">
        <v>1</v>
      </c>
      <c r="I5" s="299" t="s">
        <v>688</v>
      </c>
      <c r="J5" s="1066">
        <f ca="1">J6+J10+J12</f>
        <v>0</v>
      </c>
      <c r="K5" s="1360" t="s">
        <v>689</v>
      </c>
      <c r="L5" s="1067"/>
      <c r="M5" s="1068"/>
    </row>
    <row r="6" spans="1:37" ht="18" customHeight="1">
      <c r="A6" s="1065" t="s">
        <v>398</v>
      </c>
      <c r="B6" s="3801" t="s">
        <v>690</v>
      </c>
      <c r="C6" s="1070">
        <f ca="1">ROUND(F6*F8*F7*(1-F9)/10000,0)</f>
        <v>3919</v>
      </c>
      <c r="D6" s="154" t="s">
        <v>2105</v>
      </c>
      <c r="E6" s="301" t="s">
        <v>692</v>
      </c>
      <c r="F6" s="302">
        <f ca="1">INDIRECT("'数据-取费表'!u"&amp;$G$1)</f>
        <v>3.73</v>
      </c>
      <c r="G6" s="1380"/>
      <c r="H6" s="1065" t="s">
        <v>398</v>
      </c>
      <c r="I6" s="3801" t="s">
        <v>690</v>
      </c>
      <c r="J6" s="300">
        <f ca="1">ROUND(M6*M8*M7*(1-M9)/10000,0)</f>
        <v>0</v>
      </c>
      <c r="K6" s="154" t="s">
        <v>2104</v>
      </c>
      <c r="L6" s="301" t="s">
        <v>692</v>
      </c>
      <c r="M6" s="302">
        <f ca="1">INDIRECT("'数据-取费表'!z"&amp;$G$1)</f>
        <v>0</v>
      </c>
    </row>
    <row r="7" spans="1:37" ht="18" customHeight="1">
      <c r="A7" s="1069"/>
      <c r="B7" s="3802"/>
      <c r="C7" s="1071"/>
      <c r="D7" s="306"/>
      <c r="E7" s="3467" t="s">
        <v>693</v>
      </c>
      <c r="F7" s="302">
        <f ca="1">IF(INDIRECT("'数据-取费表'!ah"&amp;$G$1)="",INDIRECT("'数据-取费表'!k"&amp;$G$1),INDIRECT("'数据-取费表'!ah"&amp;$G$1))</f>
        <v>31986.760000000002</v>
      </c>
      <c r="G7" s="1380"/>
      <c r="H7" s="303"/>
      <c r="I7" s="3802"/>
      <c r="J7" s="305"/>
      <c r="K7" s="306"/>
      <c r="L7" s="301" t="s">
        <v>693</v>
      </c>
      <c r="M7" s="302">
        <f ca="1">F7</f>
        <v>31986.760000000002</v>
      </c>
    </row>
    <row r="8" spans="1:37" ht="18" customHeight="1">
      <c r="A8" s="303"/>
      <c r="B8" s="3802"/>
      <c r="C8" s="305"/>
      <c r="D8" s="306"/>
      <c r="E8" s="301" t="s">
        <v>694</v>
      </c>
      <c r="F8" s="302">
        <f ca="1">INDIRECT("'数据-取费表'!ai"&amp;$G$1)</f>
        <v>365</v>
      </c>
      <c r="G8" s="1380"/>
      <c r="H8" s="303"/>
      <c r="I8" s="3802"/>
      <c r="J8" s="305"/>
      <c r="K8" s="306"/>
      <c r="L8" s="301" t="s">
        <v>694</v>
      </c>
      <c r="M8" s="302">
        <f ca="1">INDIRECT("'数据-取费表'!ai"&amp;$G$1)</f>
        <v>365</v>
      </c>
    </row>
    <row r="9" spans="1:37" ht="18" customHeight="1">
      <c r="A9" s="303"/>
      <c r="B9" s="3803"/>
      <c r="C9" s="305"/>
      <c r="D9" s="306"/>
      <c r="E9" s="301" t="s">
        <v>695</v>
      </c>
      <c r="F9" s="311">
        <f ca="1">INDIRECT("'数据-取费表'!w"&amp;$G$1)</f>
        <v>0.1</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5</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23524</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15993</v>
      </c>
      <c r="D14" s="3456" t="s">
        <v>704</v>
      </c>
      <c r="E14" s="3449"/>
      <c r="F14" s="318"/>
      <c r="G14" s="1380"/>
      <c r="H14" s="978" t="s">
        <v>398</v>
      </c>
      <c r="I14" s="301" t="s">
        <v>705</v>
      </c>
      <c r="J14" s="21">
        <f ca="1">C29</f>
        <v>25295</v>
      </c>
      <c r="K14" s="3465"/>
      <c r="L14" s="803"/>
      <c r="M14" s="804"/>
    </row>
    <row r="15" spans="1:37" s="1393" customFormat="1" ht="18" customHeight="1" thickBot="1">
      <c r="A15" s="978" t="s">
        <v>399</v>
      </c>
      <c r="B15" s="301" t="s">
        <v>706</v>
      </c>
      <c r="C15" s="21">
        <f ca="1">ROUND(C14*F15,0)</f>
        <v>800</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178</v>
      </c>
      <c r="K16" s="1083" t="s">
        <v>711</v>
      </c>
      <c r="L16" s="3459"/>
      <c r="M16" s="1068"/>
    </row>
    <row r="17" spans="1:37" s="1393" customFormat="1" ht="18" customHeight="1">
      <c r="A17" s="978" t="s">
        <v>677</v>
      </c>
      <c r="B17" s="301" t="s">
        <v>712</v>
      </c>
      <c r="C17" s="21">
        <f ca="1">ROUND(F17*(F43+INDIRECT("'数据-取费表'!S"&amp;$G$1))/10000,0)</f>
        <v>640</v>
      </c>
      <c r="D17" s="301" t="s">
        <v>713</v>
      </c>
      <c r="E17" s="301" t="s">
        <v>714</v>
      </c>
      <c r="F17" s="23">
        <f>'数据-取费表'!B35</f>
        <v>200</v>
      </c>
      <c r="G17" s="1392"/>
      <c r="H17" s="978" t="s">
        <v>398</v>
      </c>
      <c r="I17" s="301" t="s">
        <v>715</v>
      </c>
      <c r="J17" s="2312">
        <f ca="1">ROUND(IF(AND(项目基本情况!B11="自然人",项目基本情况!B10="北京市"),J6*M17/(1+'数据-取费表'!C42),J18+J19+J20),2)</f>
        <v>1.21</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240</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17673</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530</v>
      </c>
      <c r="D20" s="2424" t="s">
        <v>725</v>
      </c>
      <c r="E20" s="301" t="s">
        <v>708</v>
      </c>
      <c r="F20" s="321">
        <f>'数据-取费表'!B37</f>
        <v>0.03</v>
      </c>
      <c r="G20" s="1392"/>
      <c r="H20" s="978" t="s">
        <v>676</v>
      </c>
      <c r="I20" s="154" t="s">
        <v>726</v>
      </c>
      <c r="J20" s="22">
        <f ca="1">ROUND(M20*M21/10000,2)</f>
        <v>1.21</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4042.34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177.07</v>
      </c>
      <c r="K22" s="3454" t="s">
        <v>735</v>
      </c>
      <c r="L22" s="301" t="s">
        <v>708</v>
      </c>
      <c r="M22" s="327">
        <f ca="1">INDIRECT("'数据-取费表'!Ak"&amp;$G$1)</f>
        <v>7.0000000000000001E-3</v>
      </c>
    </row>
    <row r="23" spans="1:37" s="1393" customFormat="1" ht="18" customHeight="1">
      <c r="A23" s="978" t="s">
        <v>397</v>
      </c>
      <c r="B23" s="301" t="s">
        <v>736</v>
      </c>
      <c r="C23" s="21">
        <f ca="1">IF('数据-取费表'!B22&lt;=1,ROUND(C19*F24*F23/2,0)+ROUND(C20*F24*F23/2,0),ROUND(C19*(POWER((1+F24),F23/2)-1),0)+ROUND(C20*(POWER((1+F24),F23/2)-1),0))</f>
        <v>1144</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-178</v>
      </c>
      <c r="K25" s="1091" t="s">
        <v>749</v>
      </c>
      <c r="L25" s="1092"/>
      <c r="M25" s="1093"/>
    </row>
    <row r="26" spans="1:37">
      <c r="A26" s="978" t="s">
        <v>397</v>
      </c>
      <c r="B26" s="301" t="s">
        <v>750</v>
      </c>
      <c r="C26" s="21">
        <f ca="1">ROUND((C19+C20)*F26,0)</f>
        <v>3641</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25295</v>
      </c>
      <c r="D29" s="1088"/>
      <c r="E29" s="1086"/>
      <c r="F29" s="1089"/>
      <c r="G29" s="1392"/>
      <c r="H29" s="333" t="s">
        <v>396</v>
      </c>
      <c r="I29" s="334" t="s">
        <v>764</v>
      </c>
      <c r="J29" s="335">
        <f ca="1">ROUND(J26/(1+F40)^F41,0)</f>
        <v>0</v>
      </c>
      <c r="K29" s="336" t="s">
        <v>765</v>
      </c>
      <c r="L29" s="337"/>
      <c r="M29" s="338">
        <f ca="1">INDIRECT("'数据-取费表'!k"&amp;$G$1)</f>
        <v>31986.760000000002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898</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658.11</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209.01</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447.89</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1.21</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4042.34</v>
      </c>
      <c r="G35" s="1380"/>
      <c r="H35" s="2693"/>
      <c r="I35" s="1394"/>
      <c r="J35" s="1395"/>
      <c r="K35" s="2697"/>
      <c r="L35" s="2696"/>
      <c r="M35" s="2696"/>
    </row>
    <row r="36" spans="1:18" ht="18" customHeight="1">
      <c r="A36" s="1098" t="s">
        <v>402</v>
      </c>
      <c r="B36" s="301" t="s">
        <v>734</v>
      </c>
      <c r="C36" s="21">
        <f ca="1">ROUND(C29*F36,2)</f>
        <v>177.07</v>
      </c>
      <c r="D36" s="3454" t="s">
        <v>767</v>
      </c>
      <c r="E36" s="301" t="s">
        <v>708</v>
      </c>
      <c r="F36" s="327">
        <f ca="1">INDIRECT("'数据-取费表'!Ak"&amp;$G$1)</f>
        <v>7.0000000000000001E-3</v>
      </c>
      <c r="G36" s="1380"/>
      <c r="H36" s="2696"/>
      <c r="I36" s="1394"/>
      <c r="J36" s="1395"/>
      <c r="K36" s="2540"/>
      <c r="L36" s="2696"/>
      <c r="M36" s="2696"/>
    </row>
    <row r="37" spans="1:18" ht="18" customHeight="1">
      <c r="A37" s="978" t="s">
        <v>437</v>
      </c>
      <c r="B37" s="301" t="s">
        <v>738</v>
      </c>
      <c r="C37" s="21">
        <f ca="1">ROUND(C13*F37,2)</f>
        <v>23.52</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39.24</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3026</v>
      </c>
      <c r="D39" s="1091" t="s">
        <v>769</v>
      </c>
      <c r="E39" s="1092"/>
      <c r="F39" s="1093"/>
      <c r="G39" s="1380"/>
      <c r="H39" s="2696"/>
      <c r="I39" s="1394">
        <f ca="1">C39/C5</f>
        <v>0.77115188583078487</v>
      </c>
      <c r="J39" s="1395"/>
      <c r="K39" s="2700"/>
      <c r="L39" s="2696"/>
      <c r="M39" s="2696"/>
    </row>
    <row r="40" spans="1:18" ht="18" customHeight="1">
      <c r="A40" s="298" t="s">
        <v>395</v>
      </c>
      <c r="B40" s="299" t="s">
        <v>770</v>
      </c>
      <c r="C40" s="300">
        <f ca="1">ROUND(C39*(1-((1+F42)/(1+F40))^F41)/(F40-F42),0)</f>
        <v>58569</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18310</v>
      </c>
      <c r="D43" s="336" t="s">
        <v>773</v>
      </c>
      <c r="E43" s="337" t="s">
        <v>774</v>
      </c>
      <c r="F43" s="338">
        <f ca="1">INDIRECT("'数据-取费表'!k"&amp;$G$1)</f>
        <v>31986.760000000002</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8" thickBot="1">
      <c r="A46" s="1400" t="s">
        <v>805</v>
      </c>
      <c r="C46" s="1401">
        <f ca="1">C68-C40</f>
        <v>-61403</v>
      </c>
      <c r="D46" s="1402" t="str">
        <f>C2</f>
        <v>万元</v>
      </c>
      <c r="E46" s="1396"/>
      <c r="F46" s="1396"/>
      <c r="I46" s="1403" t="s">
        <v>806</v>
      </c>
      <c r="J46" s="1404"/>
      <c r="K46" s="1405"/>
      <c r="L46" s="1406">
        <f ca="1">IF(M47="住宅",0,IF(L48&gt;J51,L60,J60))</f>
        <v>1631</v>
      </c>
      <c r="O46" s="1407" t="s">
        <v>807</v>
      </c>
      <c r="P46" s="1408" t="s">
        <v>808</v>
      </c>
      <c r="Q46" s="1409" t="s">
        <v>809</v>
      </c>
      <c r="R46" s="1409" t="s">
        <v>810</v>
      </c>
    </row>
    <row r="47" spans="1:18" s="1380" customFormat="1" ht="13.8"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58569</v>
      </c>
      <c r="R47" s="1416" t="s">
        <v>814</v>
      </c>
    </row>
    <row r="48" spans="1:18" s="1380" customFormat="1" ht="40.200000000000003" thickBot="1">
      <c r="A48" s="1106" t="s">
        <v>438</v>
      </c>
      <c r="B48" s="299" t="s">
        <v>688</v>
      </c>
      <c r="C48" s="3468">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1631</v>
      </c>
      <c r="R48" s="1416" t="s">
        <v>818</v>
      </c>
    </row>
    <row r="49" spans="1:18" s="1380" customFormat="1" ht="13.8"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25295</v>
      </c>
      <c r="R49" s="1416" t="s">
        <v>814</v>
      </c>
    </row>
    <row r="50" spans="1:18" s="1380" customFormat="1" ht="13.8" thickBot="1">
      <c r="A50" s="972"/>
      <c r="B50" s="975"/>
      <c r="C50" s="1114"/>
      <c r="D50" s="949"/>
      <c r="E50" s="1052" t="s">
        <v>693</v>
      </c>
      <c r="F50" s="1053">
        <f ca="1">F7</f>
        <v>31986.760000000002</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8"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21796</v>
      </c>
      <c r="M51" s="1432"/>
      <c r="O51" s="1424" t="s">
        <v>407</v>
      </c>
      <c r="P51" s="1415" t="s">
        <v>827</v>
      </c>
      <c r="Q51" s="1427">
        <f>J52</f>
        <v>7.4999999999999997E-2</v>
      </c>
      <c r="R51" s="1416"/>
    </row>
    <row r="52" spans="1:18" s="1380" customFormat="1" ht="13.8"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36.6"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799" t="s">
        <v>833</v>
      </c>
      <c r="L53" s="3800"/>
      <c r="O53" s="1414" t="s">
        <v>409</v>
      </c>
      <c r="P53" s="1415" t="s">
        <v>834</v>
      </c>
      <c r="Q53" s="1416">
        <f ca="1">Q47+Q48</f>
        <v>60200</v>
      </c>
      <c r="R53" s="1416" t="s">
        <v>410</v>
      </c>
    </row>
    <row r="54" spans="1:18" s="1380" customFormat="1" ht="24.6"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8" thickBot="1">
      <c r="A55" s="1079" t="s">
        <v>437</v>
      </c>
      <c r="B55" s="1365" t="s">
        <v>699</v>
      </c>
      <c r="C55" s="1080"/>
      <c r="D55" s="1362"/>
      <c r="E55" s="3461"/>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37.200000000000003" thickTop="1" thickBot="1">
      <c r="A56" s="953">
        <v>2</v>
      </c>
      <c r="B56" s="954" t="s">
        <v>700</v>
      </c>
      <c r="C56" s="231">
        <f ca="1">C13</f>
        <v>23524</v>
      </c>
      <c r="D56" s="1443"/>
      <c r="E56" s="1444"/>
      <c r="F56" s="1436"/>
      <c r="I56" s="1445" t="s">
        <v>838</v>
      </c>
      <c r="J56" s="1446" t="s">
        <v>3431</v>
      </c>
      <c r="K56" s="1417" t="s">
        <v>839</v>
      </c>
      <c r="L56" s="1420" t="str">
        <f ca="1">IF(L48&lt;J51,"——",L48-J53)</f>
        <v>——</v>
      </c>
      <c r="O56" s="1414" t="s">
        <v>403</v>
      </c>
      <c r="P56" s="1415" t="s">
        <v>813</v>
      </c>
      <c r="Q56" s="1416">
        <f ca="1">C40+J29</f>
        <v>58569</v>
      </c>
      <c r="R56" s="1416" t="s">
        <v>814</v>
      </c>
    </row>
    <row r="57" spans="1:18" s="1380" customFormat="1" ht="24.6" thickBot="1">
      <c r="A57" s="1447"/>
      <c r="B57" s="946" t="s">
        <v>763</v>
      </c>
      <c r="C57" s="237">
        <f ca="1">C29</f>
        <v>25295</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6" thickBot="1">
      <c r="A58" s="314" t="s">
        <v>393</v>
      </c>
      <c r="B58" s="954" t="s">
        <v>710</v>
      </c>
      <c r="C58" s="315">
        <f ca="1">ROUND(C59+C64+C65+C66,0)</f>
        <v>202</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6"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11990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2"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1631</v>
      </c>
      <c r="K60" s="1456" t="s">
        <v>850</v>
      </c>
      <c r="L60" s="1455">
        <f ca="1">IF(OR(M47="住宅",L48&lt;J51),0,ROUND(L57*(L58/L59-1),0))</f>
        <v>0</v>
      </c>
      <c r="O60" s="1424" t="s">
        <v>407</v>
      </c>
      <c r="P60" s="1415" t="s">
        <v>851</v>
      </c>
      <c r="Q60" s="1416" t="e">
        <f ca="1">L58</f>
        <v>#DIV/0!</v>
      </c>
      <c r="R60" s="1416" t="s">
        <v>852</v>
      </c>
    </row>
    <row r="61" spans="1:18" s="1380" customFormat="1" ht="13.8"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8" thickBot="1">
      <c r="A62" s="978" t="s">
        <v>780</v>
      </c>
      <c r="B62" s="945" t="s">
        <v>781</v>
      </c>
      <c r="C62" s="22">
        <f ca="1">IF(项目基本情况!B11="自然人","——",ROUND(F62*F63/10000,2))</f>
        <v>1.21</v>
      </c>
      <c r="D62" s="961" t="s">
        <v>782</v>
      </c>
      <c r="E62" s="946" t="s">
        <v>783</v>
      </c>
      <c r="F62" s="324">
        <f t="shared" si="0"/>
        <v>3</v>
      </c>
      <c r="I62" s="1458" t="s">
        <v>854</v>
      </c>
      <c r="J62" s="1459" t="s">
        <v>855</v>
      </c>
      <c r="K62" s="1459" t="s">
        <v>856</v>
      </c>
      <c r="L62" s="1459" t="s">
        <v>857</v>
      </c>
      <c r="M62" s="1460" t="s">
        <v>858</v>
      </c>
      <c r="O62" s="1414" t="s">
        <v>409</v>
      </c>
      <c r="P62" s="1415" t="s">
        <v>859</v>
      </c>
      <c r="Q62" s="1416">
        <f ca="1">Q56+Q57</f>
        <v>58569</v>
      </c>
      <c r="R62" s="1416" t="s">
        <v>410</v>
      </c>
    </row>
    <row r="63" spans="1:18" s="1380" customFormat="1" ht="13.8" thickBot="1">
      <c r="A63" s="325"/>
      <c r="B63" s="952"/>
      <c r="C63" s="26"/>
      <c r="D63" s="962"/>
      <c r="E63" s="946" t="s">
        <v>784</v>
      </c>
      <c r="F63" s="302">
        <f t="shared" ca="1" si="0"/>
        <v>4042.34</v>
      </c>
      <c r="I63" s="1458" t="s">
        <v>860</v>
      </c>
      <c r="J63" s="1459">
        <v>70</v>
      </c>
      <c r="K63" s="1459">
        <v>50</v>
      </c>
      <c r="L63" s="1459">
        <v>80</v>
      </c>
      <c r="M63" s="1461">
        <v>0.02</v>
      </c>
      <c r="O63" s="1399" t="s">
        <v>861</v>
      </c>
      <c r="P63" s="1377"/>
      <c r="Q63" s="1377"/>
      <c r="R63" s="1377"/>
    </row>
    <row r="64" spans="1:18" s="1380" customFormat="1" ht="13.8" thickBot="1">
      <c r="A64" s="978" t="s">
        <v>785</v>
      </c>
      <c r="B64" s="946" t="s">
        <v>734</v>
      </c>
      <c r="C64" s="21">
        <f ca="1">ROUND(C57*F64,2)</f>
        <v>177.07</v>
      </c>
      <c r="D64" s="960" t="s">
        <v>787</v>
      </c>
      <c r="E64" s="946" t="s">
        <v>779</v>
      </c>
      <c r="F64" s="327">
        <f t="shared" ca="1" si="0"/>
        <v>7.0000000000000001E-3</v>
      </c>
      <c r="I64" s="1458" t="s">
        <v>862</v>
      </c>
      <c r="J64" s="1459">
        <v>50</v>
      </c>
      <c r="K64" s="1459">
        <v>35</v>
      </c>
      <c r="L64" s="1459">
        <v>60</v>
      </c>
      <c r="M64" s="1460">
        <v>0</v>
      </c>
      <c r="O64" s="1407" t="s">
        <v>807</v>
      </c>
      <c r="P64" s="1408" t="s">
        <v>808</v>
      </c>
      <c r="Q64" s="1409" t="s">
        <v>809</v>
      </c>
      <c r="R64" s="1409" t="s">
        <v>810</v>
      </c>
    </row>
    <row r="65" spans="1:18" s="1380" customFormat="1" ht="13.8" thickBot="1">
      <c r="A65" s="978" t="s">
        <v>788</v>
      </c>
      <c r="B65" s="946" t="s">
        <v>738</v>
      </c>
      <c r="C65" s="21">
        <f ca="1">ROUND(C56*F65,2)</f>
        <v>23.52</v>
      </c>
      <c r="D65" s="960" t="s">
        <v>739</v>
      </c>
      <c r="E65" s="946" t="s">
        <v>740</v>
      </c>
      <c r="F65" s="329">
        <f t="shared" ca="1" si="0"/>
        <v>1E-3</v>
      </c>
      <c r="I65" s="1458" t="s">
        <v>863</v>
      </c>
      <c r="J65" s="1459">
        <v>40</v>
      </c>
      <c r="K65" s="1459">
        <v>30</v>
      </c>
      <c r="L65" s="1459">
        <v>50</v>
      </c>
      <c r="M65" s="1461">
        <v>0.02</v>
      </c>
      <c r="O65" s="1414" t="s">
        <v>403</v>
      </c>
      <c r="P65" s="1415" t="s">
        <v>864</v>
      </c>
      <c r="Q65" s="1416">
        <f ca="1">C40+J29</f>
        <v>58569</v>
      </c>
      <c r="R65" s="1416" t="s">
        <v>814</v>
      </c>
    </row>
    <row r="66" spans="1:18" s="1380" customFormat="1" ht="16.2"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24.6" thickBot="1">
      <c r="A67" s="953" t="s">
        <v>394</v>
      </c>
      <c r="B67" s="963" t="s">
        <v>748</v>
      </c>
      <c r="C67" s="315">
        <f ca="1">C48-C58</f>
        <v>-202</v>
      </c>
      <c r="D67" s="959" t="s">
        <v>749</v>
      </c>
      <c r="E67" s="964"/>
      <c r="F67" s="965"/>
      <c r="O67" s="1424" t="s">
        <v>405</v>
      </c>
      <c r="P67" s="1415" t="s">
        <v>846</v>
      </c>
      <c r="Q67" s="1462">
        <f ca="1">L51</f>
        <v>21796</v>
      </c>
      <c r="R67" s="1416" t="s">
        <v>866</v>
      </c>
    </row>
    <row r="68" spans="1:18" s="1380" customFormat="1" ht="16.2" thickBot="1">
      <c r="A68" s="943" t="s">
        <v>395</v>
      </c>
      <c r="B68" s="944" t="s">
        <v>770</v>
      </c>
      <c r="C68" s="300">
        <f ca="1">ROUND(C67*(1-((1+F70)/(1+F68))^F69)/(F68-F70),0)</f>
        <v>-2834</v>
      </c>
      <c r="D68" s="961" t="s">
        <v>754</v>
      </c>
      <c r="E68" s="946" t="s">
        <v>755</v>
      </c>
      <c r="F68" s="311">
        <f ca="1">F40</f>
        <v>5.5E-2</v>
      </c>
      <c r="O68" s="1424" t="s">
        <v>406</v>
      </c>
      <c r="P68" s="1463" t="s">
        <v>867</v>
      </c>
      <c r="Q68" s="1416">
        <f ca="1">ROUND(Q69-Q70*Q71,0)</f>
        <v>1262</v>
      </c>
      <c r="R68" s="1416" t="s">
        <v>414</v>
      </c>
    </row>
    <row r="69" spans="1:18" s="1380" customFormat="1" ht="13.8" thickBot="1">
      <c r="A69" s="947"/>
      <c r="B69" s="948"/>
      <c r="C69" s="305"/>
      <c r="D69" s="966" t="s">
        <v>758</v>
      </c>
      <c r="E69" s="946" t="s">
        <v>759</v>
      </c>
      <c r="F69" s="332">
        <f ca="1">F41</f>
        <v>27.58</v>
      </c>
      <c r="O69" s="1424" t="s">
        <v>411</v>
      </c>
      <c r="P69" s="1463" t="s">
        <v>868</v>
      </c>
      <c r="Q69" s="1416">
        <f ca="1">C39</f>
        <v>3026</v>
      </c>
      <c r="R69" s="1416" t="s">
        <v>814</v>
      </c>
    </row>
    <row r="70" spans="1:18" s="1380" customFormat="1" ht="13.8" thickBot="1">
      <c r="A70" s="950"/>
      <c r="B70" s="951"/>
      <c r="C70" s="309"/>
      <c r="D70" s="962"/>
      <c r="E70" s="946" t="s">
        <v>762</v>
      </c>
      <c r="F70" s="1050"/>
      <c r="O70" s="1424" t="s">
        <v>412</v>
      </c>
      <c r="P70" s="1463" t="s">
        <v>869</v>
      </c>
      <c r="Q70" s="1416">
        <f ca="1">C13</f>
        <v>23524</v>
      </c>
      <c r="R70" s="1416" t="s">
        <v>814</v>
      </c>
    </row>
    <row r="71" spans="1:18" s="1380" customFormat="1" ht="13.8" thickBot="1">
      <c r="A71" s="967" t="s">
        <v>396</v>
      </c>
      <c r="B71" s="968" t="s">
        <v>772</v>
      </c>
      <c r="C71" s="335">
        <f ca="1">ROUND(C68*10000/F71,0)</f>
        <v>-886</v>
      </c>
      <c r="D71" s="969" t="s">
        <v>773</v>
      </c>
      <c r="E71" s="970" t="s">
        <v>774</v>
      </c>
      <c r="F71" s="338">
        <f ca="1">F43</f>
        <v>31986.760000000002</v>
      </c>
      <c r="O71" s="1424" t="s">
        <v>413</v>
      </c>
      <c r="P71" s="1463" t="s">
        <v>870</v>
      </c>
      <c r="Q71" s="1427">
        <f ca="1">C76</f>
        <v>7.4999999999999997E-2</v>
      </c>
      <c r="R71" s="1416"/>
    </row>
    <row r="72" spans="1:18" s="1380" customFormat="1" ht="13.8" thickBot="1">
      <c r="B72" s="724"/>
      <c r="C72" s="724"/>
      <c r="O72" s="1424" t="s">
        <v>407</v>
      </c>
      <c r="P72" s="1415" t="s">
        <v>848</v>
      </c>
      <c r="Q72" s="1427">
        <f>L52</f>
        <v>0</v>
      </c>
      <c r="R72" s="1416"/>
    </row>
    <row r="73" spans="1:18" ht="16.2" thickBot="1">
      <c r="A73" s="1380"/>
      <c r="B73" s="724"/>
      <c r="C73" s="724"/>
      <c r="D73" s="1380"/>
      <c r="E73" s="1380"/>
      <c r="F73" s="1380"/>
      <c r="O73" s="1424" t="s">
        <v>408</v>
      </c>
      <c r="P73" s="1415" t="s">
        <v>851</v>
      </c>
      <c r="Q73" s="1416" t="e">
        <f ca="1">L58</f>
        <v>#DIV/0!</v>
      </c>
      <c r="R73" s="1416" t="s">
        <v>852</v>
      </c>
    </row>
    <row r="74" spans="1:18" ht="13.8"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8" thickBot="1">
      <c r="A75" s="1380"/>
      <c r="B75" s="339" t="s">
        <v>791</v>
      </c>
      <c r="C75" s="340">
        <f ca="1">ROUND(C13*C76,0)</f>
        <v>1764</v>
      </c>
      <c r="D75" s="1380"/>
      <c r="E75" s="1380"/>
      <c r="F75" s="1380"/>
      <c r="K75" s="1398"/>
      <c r="L75" s="1380"/>
      <c r="O75" s="1414" t="s">
        <v>409</v>
      </c>
      <c r="P75" s="1415" t="s">
        <v>834</v>
      </c>
      <c r="Q75" s="1416">
        <f ca="1">Q65+Q66</f>
        <v>58569</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0.41700000000000004</v>
      </c>
    </row>
    <row r="80" spans="1:18">
      <c r="B80" s="339" t="s">
        <v>796</v>
      </c>
      <c r="C80" s="273">
        <f ca="1">ROUND(C75/C39,3)</f>
        <v>0.58299999999999996</v>
      </c>
    </row>
    <row r="81" spans="2:3">
      <c r="B81" s="269" t="s">
        <v>797</v>
      </c>
      <c r="C81" s="237"/>
    </row>
    <row r="82" spans="2:3">
      <c r="B82" s="272" t="s">
        <v>798</v>
      </c>
      <c r="C82" s="274">
        <f ca="1">1-C83</f>
        <v>0.59799999999999998</v>
      </c>
    </row>
    <row r="83" spans="2:3">
      <c r="B83" s="272" t="s">
        <v>799</v>
      </c>
      <c r="C83" s="273">
        <f ca="1">ROUND(C13/C40,3)</f>
        <v>0.40200000000000002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4" zoomScale="70" zoomScaleNormal="100" zoomScaleSheetLayoutView="70" zoomScalePageLayoutView="80" workbookViewId="0">
      <selection activeCell="L28" sqref="L28"/>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1258</v>
      </c>
      <c r="B1" s="1743"/>
      <c r="C1" s="1744" t="s">
        <v>3403</v>
      </c>
      <c r="D1" s="1743"/>
      <c r="E1" s="1743"/>
      <c r="F1" s="1745" t="s">
        <v>1259</v>
      </c>
      <c r="G1" s="1557"/>
      <c r="H1" s="1746" t="str">
        <f>IF(G1="现房","——","估价对象范围")</f>
        <v>估价对象范围</v>
      </c>
      <c r="I1" s="1747"/>
    </row>
    <row r="2" spans="1:12" ht="21.75" customHeight="1" thickBot="1">
      <c r="A2" s="3750" t="str">
        <f>项目基本情况!S2</f>
        <v>北京市房地产</v>
      </c>
      <c r="B2" s="3751"/>
      <c r="C2" s="3751"/>
      <c r="D2" s="3751"/>
      <c r="E2" s="3751"/>
      <c r="F2" s="3751"/>
      <c r="G2" s="3751"/>
      <c r="H2" s="3751"/>
      <c r="I2" s="3752"/>
    </row>
    <row r="3" spans="1:12" ht="13.2">
      <c r="A3" s="3754" t="s">
        <v>1260</v>
      </c>
      <c r="B3" s="3755"/>
      <c r="C3" s="3755"/>
      <c r="D3" s="3755"/>
      <c r="E3" s="3755"/>
      <c r="F3" s="3755"/>
      <c r="G3" s="3755"/>
      <c r="H3" s="3755"/>
      <c r="I3" s="3755"/>
    </row>
    <row r="4" spans="1:12" ht="14.4">
      <c r="A4" s="1750" t="s">
        <v>1261</v>
      </c>
      <c r="B4" s="1751" t="s">
        <v>1262</v>
      </c>
      <c r="C4" s="1752" t="s">
        <v>3418</v>
      </c>
      <c r="D4" s="1752" t="s">
        <v>3424</v>
      </c>
      <c r="E4" s="3759" t="s">
        <v>1263</v>
      </c>
      <c r="F4" s="3760"/>
      <c r="G4" s="3760"/>
      <c r="H4" s="3760"/>
      <c r="I4" s="3761"/>
      <c r="K4" s="145"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45"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3.2">
      <c r="A5" s="3698" t="s">
        <v>1264</v>
      </c>
      <c r="B5" s="3753">
        <v>25</v>
      </c>
      <c r="C5" s="3756"/>
      <c r="D5" s="3744"/>
      <c r="E5" s="130" t="s">
        <v>1265</v>
      </c>
      <c r="F5" s="1753"/>
      <c r="G5" s="1753"/>
      <c r="H5" s="1753"/>
      <c r="I5" s="1369"/>
    </row>
    <row r="6" spans="1:12" ht="13.2">
      <c r="A6" s="3698"/>
      <c r="B6" s="3753"/>
      <c r="C6" s="3758"/>
      <c r="D6" s="3744"/>
      <c r="E6" s="130" t="s">
        <v>1266</v>
      </c>
      <c r="F6" s="1753"/>
      <c r="G6" s="1753"/>
      <c r="H6" s="1753"/>
      <c r="I6" s="1369"/>
    </row>
    <row r="7" spans="1:12" ht="13.2">
      <c r="A7" s="3698"/>
      <c r="B7" s="3753"/>
      <c r="C7" s="3757"/>
      <c r="D7" s="3744"/>
      <c r="E7" s="130" t="s">
        <v>1267</v>
      </c>
      <c r="F7" s="1753"/>
      <c r="G7" s="1753"/>
      <c r="H7" s="1753"/>
      <c r="I7" s="1369"/>
    </row>
    <row r="8" spans="1:12" ht="13.2">
      <c r="A8" s="3698" t="s">
        <v>1268</v>
      </c>
      <c r="B8" s="3753">
        <v>15</v>
      </c>
      <c r="C8" s="3756"/>
      <c r="D8" s="3744"/>
      <c r="E8" s="130" t="s">
        <v>1269</v>
      </c>
      <c r="F8" s="1753"/>
      <c r="G8" s="1753"/>
      <c r="H8" s="1753"/>
      <c r="I8" s="1369"/>
    </row>
    <row r="9" spans="1:12" ht="13.2">
      <c r="A9" s="3698"/>
      <c r="B9" s="3753"/>
      <c r="C9" s="3757"/>
      <c r="D9" s="3744"/>
      <c r="E9" s="130" t="s">
        <v>1270</v>
      </c>
      <c r="F9" s="1753"/>
      <c r="G9" s="1753"/>
      <c r="H9" s="1753"/>
      <c r="I9" s="1369"/>
    </row>
    <row r="10" spans="1:12" ht="13.2">
      <c r="A10" s="3698" t="s">
        <v>1271</v>
      </c>
      <c r="B10" s="3753">
        <v>15</v>
      </c>
      <c r="C10" s="3756"/>
      <c r="D10" s="3744"/>
      <c r="E10" s="130" t="s">
        <v>1272</v>
      </c>
      <c r="F10" s="1753"/>
      <c r="G10" s="1753"/>
      <c r="H10" s="1753"/>
      <c r="I10" s="1369"/>
    </row>
    <row r="11" spans="1:12" ht="13.2">
      <c r="A11" s="3698"/>
      <c r="B11" s="3753"/>
      <c r="C11" s="3757"/>
      <c r="D11" s="3744"/>
      <c r="E11" s="130" t="s">
        <v>1273</v>
      </c>
      <c r="F11" s="1753"/>
      <c r="G11" s="1753"/>
      <c r="H11" s="1753"/>
      <c r="I11" s="1369"/>
    </row>
    <row r="12" spans="1:12" ht="13.2">
      <c r="A12" s="3698" t="s">
        <v>1274</v>
      </c>
      <c r="B12" s="3753">
        <v>15</v>
      </c>
      <c r="C12" s="3756"/>
      <c r="D12" s="3744"/>
      <c r="E12" s="130" t="s">
        <v>1275</v>
      </c>
      <c r="F12" s="1753"/>
      <c r="G12" s="1753"/>
      <c r="H12" s="1753"/>
      <c r="I12" s="1369"/>
    </row>
    <row r="13" spans="1:12" ht="13.2">
      <c r="A13" s="3698"/>
      <c r="B13" s="3753"/>
      <c r="C13" s="3757"/>
      <c r="D13" s="3744"/>
      <c r="E13" s="130" t="s">
        <v>1276</v>
      </c>
      <c r="F13" s="1753"/>
      <c r="G13" s="1753"/>
      <c r="H13" s="1753"/>
      <c r="I13" s="1369"/>
    </row>
    <row r="14" spans="1:12" ht="13.2">
      <c r="A14" s="3698" t="s">
        <v>1277</v>
      </c>
      <c r="B14" s="3753">
        <v>30</v>
      </c>
      <c r="C14" s="3756">
        <v>5</v>
      </c>
      <c r="D14" s="3744">
        <v>5</v>
      </c>
      <c r="E14" s="130" t="s">
        <v>1278</v>
      </c>
      <c r="F14" s="1753"/>
      <c r="G14" s="1753"/>
      <c r="H14" s="1753"/>
      <c r="I14" s="1369"/>
    </row>
    <row r="15" spans="1:12" ht="13.2">
      <c r="A15" s="3698"/>
      <c r="B15" s="3753"/>
      <c r="C15" s="3758"/>
      <c r="D15" s="3744"/>
      <c r="E15" s="130" t="s">
        <v>1279</v>
      </c>
      <c r="F15" s="1753"/>
      <c r="G15" s="1753"/>
      <c r="H15" s="1753"/>
      <c r="I15" s="1369"/>
    </row>
    <row r="16" spans="1:12" ht="13.2">
      <c r="A16" s="3698"/>
      <c r="B16" s="3753"/>
      <c r="C16" s="3757"/>
      <c r="D16" s="3744"/>
      <c r="E16" s="130" t="s">
        <v>1280</v>
      </c>
      <c r="F16" s="1753"/>
      <c r="G16" s="1753"/>
      <c r="H16" s="1753"/>
      <c r="I16" s="1369"/>
    </row>
    <row r="17" spans="1:36" ht="14.4">
      <c r="A17" s="1754" t="s">
        <v>1281</v>
      </c>
      <c r="B17" s="56"/>
      <c r="C17" s="131">
        <f>SUM(C5:C16)</f>
        <v>5</v>
      </c>
      <c r="D17" s="131">
        <f>SUM(D5:D16)</f>
        <v>5</v>
      </c>
      <c r="E17" s="128"/>
      <c r="F17" s="128"/>
      <c r="G17" s="128"/>
      <c r="H17" s="128"/>
      <c r="I17" s="128"/>
      <c r="K17" s="301"/>
      <c r="L17" s="301" t="s">
        <v>1282</v>
      </c>
      <c r="M17" s="301" t="s">
        <v>1283</v>
      </c>
    </row>
    <row r="18" spans="1:36" ht="31.95" customHeight="1" thickBot="1">
      <c r="A18" s="1755" t="s">
        <v>1284</v>
      </c>
      <c r="B18" s="1756"/>
      <c r="C18" s="132">
        <f>ROUND(C17/SUM(C17:D17),2)</f>
        <v>0.5</v>
      </c>
      <c r="D18" s="132">
        <f>1-C18</f>
        <v>0.5</v>
      </c>
      <c r="E18" s="3775" t="s">
        <v>2127</v>
      </c>
      <c r="F18" s="3776"/>
      <c r="G18" s="3776"/>
      <c r="H18" s="3776"/>
      <c r="I18" s="3776"/>
      <c r="K18" s="301" t="s">
        <v>1285</v>
      </c>
      <c r="L18" s="301">
        <f>IF(C1="",'数据-汇总表'!E3,SUMIF(项目类型,C1,'数据-汇总表'!E17:E26)+SUMIF(项目类型,C1,'数据-汇总表'!I17:I26))</f>
        <v>16756.23</v>
      </c>
      <c r="M18" s="301">
        <f>IF(C1="",'数据-汇总表'!E3,SUMIF(项目类型,C1,'数据-汇总表'!E17:E26))</f>
        <v>16756.23</v>
      </c>
    </row>
    <row r="19" spans="1:36" ht="14.4">
      <c r="A19" s="1757" t="s">
        <v>1286</v>
      </c>
      <c r="B19" s="1758" t="s">
        <v>1287</v>
      </c>
      <c r="C19" s="133">
        <f ca="1">SUMIF(INDIRECT("'"&amp;C4&amp;"'"&amp;"!A:A"),'结果表-地下商业2'!B19,INDIRECT("'"&amp;C4&amp;"'"&amp;"!B:B"))</f>
        <v>23807</v>
      </c>
      <c r="D19" s="134">
        <f ca="1">SUMIF(INDIRECT("'"&amp;D4&amp;"'"&amp;"!A:A"),'结果表-地下商业2'!B19,INDIRECT("'"&amp;D4&amp;"'"&amp;"!B:B"))</f>
        <v>30391</v>
      </c>
      <c r="E19" s="1757" t="s">
        <v>1288</v>
      </c>
      <c r="F19" s="1758" t="s">
        <v>1287</v>
      </c>
      <c r="G19" s="135">
        <f ca="1">ROUND(C19*$C$18+D19*$D$18,0)</f>
        <v>27099</v>
      </c>
      <c r="H19" s="1759" t="s">
        <v>1289</v>
      </c>
      <c r="I19" s="128"/>
      <c r="K19" s="301" t="s">
        <v>1290</v>
      </c>
      <c r="L19" s="301">
        <f>IF(C1="",'数据-汇总表'!D3,SUMIF(项目类型,C1,'数据-汇总表'!D17:D26)+SUMIF(项目类型,C1,'数据-汇总表'!H17:H27))</f>
        <v>2117.5700000000002</v>
      </c>
      <c r="M19" s="301">
        <f>IF(C1="",'数据-汇总表'!D3,SUMIF(项目类型,C1,'数据-汇总表'!D17:D26))</f>
        <v>2117.5700000000002</v>
      </c>
    </row>
    <row r="20" spans="1:36" ht="14.4">
      <c r="A20" s="1760"/>
      <c r="B20" s="1022" t="s">
        <v>1291</v>
      </c>
      <c r="C20" s="136">
        <f ca="1">SUMIF(INDIRECT("'"&amp;C4&amp;"'"&amp;"!A:A"),'结果表-地下商业2'!B20,INDIRECT("'"&amp;C4&amp;"'"&amp;"!B:B"))</f>
        <v>14208</v>
      </c>
      <c r="D20" s="137">
        <f ca="1">SUMIF(INDIRECT("'"&amp;D4&amp;"'"&amp;"!A:A"),'结果表-地下商业2'!B20,INDIRECT("'"&amp;D4&amp;"'"&amp;"!B:B"))</f>
        <v>18137</v>
      </c>
      <c r="E20" s="1760"/>
      <c r="F20" s="1022" t="s">
        <v>1291</v>
      </c>
      <c r="G20" s="138">
        <f ca="1">ROUND(C20*$C$18+D20*$D$18,0)</f>
        <v>16173</v>
      </c>
      <c r="H20" s="804" t="s">
        <v>1292</v>
      </c>
      <c r="I20" s="128"/>
    </row>
    <row r="21" spans="1:36" ht="15" customHeight="1" thickBot="1">
      <c r="A21" s="824"/>
      <c r="B21" s="1761" t="s">
        <v>1293</v>
      </c>
      <c r="C21" s="717">
        <f ca="1">ROUND(C19*10000/L19,0)</f>
        <v>112426</v>
      </c>
      <c r="D21" s="718">
        <f ca="1">ROUND(D19*10000/L19,0)</f>
        <v>143518</v>
      </c>
      <c r="E21" s="824"/>
      <c r="F21" s="1761" t="s">
        <v>1293</v>
      </c>
      <c r="G21" s="139">
        <f ca="1">ROUND(G19*10000/L19,0)</f>
        <v>127972</v>
      </c>
      <c r="H21" s="1762" t="s">
        <v>1292</v>
      </c>
      <c r="I21" s="128"/>
    </row>
    <row r="22" spans="1:36" ht="15" thickBot="1">
      <c r="A22" s="1684" t="s">
        <v>1294</v>
      </c>
      <c r="B22" s="1763"/>
      <c r="C22" s="1764"/>
      <c r="D22" s="719">
        <f ca="1">IF(C19&lt;D19,D19/C19-1,C19/D19-1)</f>
        <v>0.27655731507539794</v>
      </c>
      <c r="E22" s="128"/>
      <c r="F22" s="128"/>
      <c r="G22" s="128"/>
      <c r="H22" s="128"/>
      <c r="I22" s="128"/>
    </row>
    <row r="23" spans="1:36" ht="13.8" thickBot="1">
      <c r="A23" s="1743"/>
      <c r="B23" s="1743"/>
      <c r="C23" s="1743"/>
      <c r="D23" s="1743"/>
      <c r="E23" s="128"/>
      <c r="F23" s="128"/>
      <c r="G23" s="128"/>
      <c r="H23" s="128"/>
      <c r="I23" s="128"/>
    </row>
    <row r="24" spans="1:36" ht="14.4">
      <c r="A24" s="3768" t="s">
        <v>1295</v>
      </c>
      <c r="B24" s="1758" t="s">
        <v>1287</v>
      </c>
      <c r="C24" s="135">
        <f>IF(B30=0,0,D30)</f>
        <v>0</v>
      </c>
      <c r="D24" s="1765"/>
      <c r="E24" s="128"/>
      <c r="F24" s="128"/>
      <c r="G24" s="128"/>
      <c r="H24" s="128"/>
      <c r="I24" s="128"/>
    </row>
    <row r="25" spans="1:36" ht="14.4">
      <c r="A25" s="3769"/>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3.8">
      <c r="A27" s="1767"/>
      <c r="B27" s="141">
        <v>0</v>
      </c>
      <c r="C27" s="141">
        <v>0</v>
      </c>
      <c r="D27" s="142">
        <f>ROUND(C27*B27/10000,0)</f>
        <v>0</v>
      </c>
      <c r="E27" s="128"/>
      <c r="F27" s="128"/>
      <c r="G27" s="128"/>
      <c r="H27" s="128"/>
      <c r="I27" s="128"/>
    </row>
    <row r="28" spans="1:36" ht="13.8">
      <c r="A28" s="1767"/>
      <c r="B28" s="141"/>
      <c r="C28" s="141"/>
      <c r="D28" s="142"/>
      <c r="E28" s="128"/>
      <c r="F28" s="128"/>
      <c r="G28" s="128"/>
      <c r="H28" s="128"/>
      <c r="I28" s="128"/>
    </row>
    <row r="29" spans="1:36" ht="13.8">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69" t="s">
        <v>1301</v>
      </c>
      <c r="B32" s="1770"/>
      <c r="C32" s="143">
        <f ca="1">IF(D32="总价",G19-C24,G20-C25)</f>
        <v>27099</v>
      </c>
      <c r="D32" s="1771" t="s">
        <v>3437</v>
      </c>
      <c r="E32" s="128"/>
      <c r="F32" s="128"/>
      <c r="G32" s="128"/>
      <c r="H32" s="128"/>
      <c r="I32" s="128"/>
    </row>
    <row r="33" spans="1:15" ht="14.4">
      <c r="A33" s="782" t="s">
        <v>1302</v>
      </c>
      <c r="B33" s="1772"/>
      <c r="C33" s="1773" t="s">
        <v>3444</v>
      </c>
      <c r="D33" s="1774" t="s">
        <v>3418</v>
      </c>
      <c r="E33" s="1775" t="s">
        <v>1303</v>
      </c>
      <c r="F33" s="1776" t="str">
        <f>IF(D32="楼面单价","取值（单价）","取值（总价）")</f>
        <v>取值（总价）</v>
      </c>
      <c r="G33" s="128"/>
      <c r="H33" s="128"/>
      <c r="I33" s="128"/>
    </row>
    <row r="34" spans="1:15" ht="14.4">
      <c r="A34" s="1777"/>
      <c r="B34" s="1778" t="s">
        <v>1304</v>
      </c>
      <c r="C34" s="147">
        <f ca="1">IF(C33="自定义",F34,C32-C35)</f>
        <v>13062</v>
      </c>
      <c r="D34" s="857">
        <f ca="1">IF(C33="自定义",ROUND(C34/C32,3),IF(C33="收益比率",SUMIF(INDIRECT("'"&amp;D33&amp;"'"&amp;"!b:b"),"土地收益比率",INDIRECT("'"&amp;D33&amp;"'"&amp;"!c:c")),SUMIF(INDIRECT("'"&amp;D33&amp;"'"&amp;"!b:b"),"土地成本比率",INDIRECT("'"&amp;D33&amp;"'"&amp;"!c:c"))))</f>
        <v>0.48199999999999998</v>
      </c>
      <c r="E34" s="1779" t="s">
        <v>1305</v>
      </c>
      <c r="F34" s="1326"/>
      <c r="G34" s="128"/>
      <c r="H34" s="128"/>
      <c r="I34" s="128"/>
    </row>
    <row r="35" spans="1:15" ht="15" thickBot="1">
      <c r="A35" s="1780"/>
      <c r="B35" s="1781" t="s">
        <v>1306</v>
      </c>
      <c r="C35" s="1166">
        <f ca="1">IF(C33="自定义",F35,ROUND(C32*D35,0))</f>
        <v>14037</v>
      </c>
      <c r="D35" s="1167">
        <f ca="1">IF(C33="自定义",ROUND(C35/C32,3),IF(C33="收益比率",SUMIF(INDIRECT("'"&amp;D33&amp;"'"&amp;"!b:b"),"建筑物收益比率",INDIRECT("'"&amp;D33&amp;"'"&amp;"!c:c")),SUMIF(INDIRECT("'"&amp;D33&amp;"'"&amp;"!b:b"),"建筑物成本比率",INDIRECT("'"&amp;D33&amp;"'"&amp;"!c:c"))))</f>
        <v>0.51800000000000002</v>
      </c>
      <c r="E35" s="1782" t="s">
        <v>1307</v>
      </c>
      <c r="F35" s="153"/>
      <c r="G35" s="128"/>
      <c r="H35" s="128"/>
      <c r="I35" s="128"/>
    </row>
    <row r="36" spans="1:15" ht="15" thickBot="1">
      <c r="A36" s="3745" t="s">
        <v>1308</v>
      </c>
      <c r="B36" s="1783" t="s">
        <v>1309</v>
      </c>
      <c r="C36" s="144"/>
      <c r="D36" s="1784"/>
      <c r="E36" s="1785"/>
      <c r="F36" s="1786"/>
      <c r="G36" s="128"/>
      <c r="H36" s="128"/>
      <c r="I36" s="128"/>
    </row>
    <row r="37" spans="1:15" ht="15" thickBot="1">
      <c r="A37" s="3746"/>
      <c r="B37" s="1670" t="s">
        <v>1310</v>
      </c>
      <c r="C37" s="146"/>
      <c r="D37" s="1135"/>
      <c r="E37" s="1135"/>
      <c r="F37" s="1786"/>
      <c r="G37" s="128"/>
      <c r="H37" s="128"/>
      <c r="I37" s="128"/>
    </row>
    <row r="38" spans="1:15" ht="15" thickBot="1">
      <c r="A38" s="3747"/>
      <c r="B38" s="1787" t="s">
        <v>1311</v>
      </c>
      <c r="C38" s="672"/>
      <c r="D38" s="1788" t="s">
        <v>1312</v>
      </c>
      <c r="E38" s="1135"/>
      <c r="F38" s="1786"/>
      <c r="G38" s="128"/>
      <c r="H38" s="128"/>
      <c r="I38" s="128"/>
    </row>
    <row r="39" spans="1:15" ht="14.4">
      <c r="A39" s="1760" t="s">
        <v>1313</v>
      </c>
      <c r="B39" s="1789" t="s">
        <v>1314</v>
      </c>
      <c r="C39" s="1790" t="s">
        <v>1315</v>
      </c>
      <c r="D39" s="1790" t="s">
        <v>1316</v>
      </c>
      <c r="E39" s="1791" t="s">
        <v>1317</v>
      </c>
      <c r="F39" s="1786"/>
      <c r="G39" s="128"/>
      <c r="H39" s="128"/>
      <c r="I39" s="128"/>
    </row>
    <row r="40" spans="1:15" ht="13.8">
      <c r="A40" s="1792" t="s">
        <v>1318</v>
      </c>
      <c r="B40" s="148"/>
      <c r="C40" s="149"/>
      <c r="D40" s="149"/>
      <c r="E40" s="150"/>
      <c r="F40" s="1786"/>
      <c r="G40" s="128"/>
      <c r="H40" s="128"/>
      <c r="I40" s="128"/>
    </row>
    <row r="41" spans="1:15" ht="13.8">
      <c r="A41" s="1792" t="s">
        <v>1319</v>
      </c>
      <c r="B41" s="148"/>
      <c r="C41" s="149"/>
      <c r="D41" s="149"/>
      <c r="E41" s="150"/>
      <c r="F41" s="1786"/>
      <c r="G41" s="128"/>
      <c r="H41" s="128"/>
      <c r="I41" s="128"/>
    </row>
    <row r="42" spans="1:15" ht="14.4" thickBot="1">
      <c r="A42" s="1793"/>
      <c r="B42" s="151"/>
      <c r="C42" s="152"/>
      <c r="D42" s="152"/>
      <c r="E42" s="153"/>
      <c r="F42" s="1786"/>
      <c r="G42" s="128"/>
      <c r="H42" s="128"/>
      <c r="I42" s="128"/>
    </row>
    <row r="43" spans="1:15" ht="13.2">
      <c r="A43" s="1573"/>
      <c r="B43" s="1573"/>
      <c r="C43" s="1573"/>
      <c r="D43" s="1573"/>
      <c r="E43" s="1573"/>
      <c r="F43" s="1794"/>
      <c r="G43" s="1794"/>
      <c r="H43" s="1794"/>
      <c r="I43" s="1795"/>
    </row>
    <row r="44" spans="1:15" ht="17.399999999999999">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65" t="s">
        <v>1322</v>
      </c>
      <c r="B45" s="3766"/>
      <c r="C45" s="3767"/>
      <c r="D45" s="154">
        <f ca="1">ROUND(H101*F45,0)</f>
        <v>27099</v>
      </c>
      <c r="E45" s="155" t="s">
        <v>1323</v>
      </c>
      <c r="F45" s="156">
        <v>1</v>
      </c>
      <c r="G45" s="157" t="s">
        <v>1324</v>
      </c>
      <c r="H45" s="128"/>
      <c r="I45" s="128"/>
      <c r="J45" s="3685" t="s">
        <v>1325</v>
      </c>
      <c r="K45" s="3685"/>
      <c r="L45" s="3685"/>
      <c r="M45" s="3685"/>
      <c r="N45" s="3685"/>
      <c r="O45" s="3685"/>
    </row>
    <row r="46" spans="1:15" ht="14.25" customHeight="1">
      <c r="A46" s="3762" t="s">
        <v>1326</v>
      </c>
      <c r="B46" s="3763"/>
      <c r="C46" s="3763"/>
      <c r="D46" s="3763"/>
      <c r="E46" s="3763"/>
      <c r="F46" s="3763"/>
      <c r="G46" s="3764"/>
      <c r="H46" s="1802"/>
      <c r="I46" s="158"/>
      <c r="J46" s="3463">
        <v>1</v>
      </c>
      <c r="K46" s="3686" t="s">
        <v>1327</v>
      </c>
      <c r="L46" s="3686"/>
      <c r="M46" s="3687"/>
      <c r="N46" s="3687"/>
      <c r="O46" s="3687"/>
    </row>
    <row r="47" spans="1:15" ht="12" customHeight="1">
      <c r="A47" s="159" t="s">
        <v>1328</v>
      </c>
      <c r="B47" s="160"/>
      <c r="C47" s="161"/>
      <c r="D47" s="1083" t="s">
        <v>1329</v>
      </c>
      <c r="E47" s="301" t="s">
        <v>1330</v>
      </c>
      <c r="F47" s="162" t="s">
        <v>1331</v>
      </c>
      <c r="G47" s="2542" t="s">
        <v>1332</v>
      </c>
      <c r="H47" s="2543"/>
      <c r="I47" s="158"/>
      <c r="J47" s="3463">
        <v>2</v>
      </c>
      <c r="K47" s="3686" t="s">
        <v>1333</v>
      </c>
      <c r="L47" s="3686"/>
      <c r="M47" s="3688">
        <f>'数据-取费表'!B2</f>
        <v>45086</v>
      </c>
      <c r="N47" s="3688"/>
      <c r="O47" s="3688"/>
    </row>
    <row r="48" spans="1:15" ht="26.4">
      <c r="A48" s="3748" t="s">
        <v>1334</v>
      </c>
      <c r="B48" s="3749"/>
      <c r="C48" s="3749"/>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686" t="s">
        <v>1336</v>
      </c>
      <c r="L48" s="3686"/>
      <c r="M48" s="3689">
        <f ca="1">H101</f>
        <v>27099</v>
      </c>
      <c r="N48" s="3689"/>
      <c r="O48" s="3689"/>
    </row>
    <row r="49" spans="1:35" ht="25.5" customHeight="1">
      <c r="A49" s="3458" t="s">
        <v>1337</v>
      </c>
      <c r="B49" s="3734" t="s">
        <v>1338</v>
      </c>
      <c r="C49" s="3734"/>
      <c r="D49" s="1586">
        <v>0</v>
      </c>
      <c r="E49" s="323" t="s">
        <v>1339</v>
      </c>
      <c r="F49" s="3448" t="s">
        <v>28</v>
      </c>
      <c r="G49" s="3717"/>
      <c r="H49" s="2306" t="s">
        <v>2130</v>
      </c>
      <c r="I49" s="2307"/>
      <c r="J49" s="3463">
        <v>4</v>
      </c>
      <c r="K49" s="3686" t="str">
        <f>IF(项目基本情况!E8="房地产抵押价值","房地产抵押价值","抵押担保权已注销时的房地产抵押价值")</f>
        <v>房地产抵押价值</v>
      </c>
      <c r="L49" s="3686"/>
      <c r="M49" s="3689">
        <f ca="1">IF(项目基本情况!E8="房地产抵押价值",H107,H109)</f>
        <v>27099</v>
      </c>
      <c r="N49" s="3689"/>
      <c r="O49" s="3689"/>
    </row>
    <row r="50" spans="1:35" ht="25.5" customHeight="1">
      <c r="A50" s="2547"/>
      <c r="B50" s="3734" t="s">
        <v>1340</v>
      </c>
      <c r="C50" s="3734"/>
      <c r="D50" s="2548"/>
      <c r="E50" s="331"/>
      <c r="F50" s="3448"/>
      <c r="G50" s="3718"/>
      <c r="H50" s="2308" t="s">
        <v>2131</v>
      </c>
      <c r="I50" s="2307"/>
      <c r="J50" s="3685" t="s">
        <v>1341</v>
      </c>
      <c r="K50" s="3685"/>
      <c r="L50" s="3685"/>
      <c r="M50" s="3685"/>
      <c r="N50" s="3685"/>
      <c r="O50" s="3685"/>
    </row>
    <row r="51" spans="1:35" ht="20.399999999999999" customHeight="1">
      <c r="A51" s="2549"/>
      <c r="B51" s="3734" t="s">
        <v>1342</v>
      </c>
      <c r="C51" s="3734"/>
      <c r="D51" s="1083"/>
      <c r="E51" s="326"/>
      <c r="F51" s="3448"/>
      <c r="G51" s="3719"/>
      <c r="H51" s="2308" t="s">
        <v>2132</v>
      </c>
      <c r="I51" s="2307"/>
      <c r="J51" s="3462" t="s">
        <v>1343</v>
      </c>
      <c r="K51" s="3686" t="s">
        <v>1344</v>
      </c>
      <c r="L51" s="3686"/>
      <c r="M51" s="3462" t="s">
        <v>1345</v>
      </c>
      <c r="N51" s="3462" t="s">
        <v>1346</v>
      </c>
      <c r="O51" s="3462" t="s">
        <v>1347</v>
      </c>
    </row>
    <row r="52" spans="1:35" ht="24" customHeight="1">
      <c r="A52" s="3453" t="s">
        <v>1348</v>
      </c>
      <c r="B52" s="3734" t="s">
        <v>1349</v>
      </c>
      <c r="C52" s="3734"/>
      <c r="D52" s="1083">
        <f ca="1">ROUND(D45*'数据-取费表'!B41/(1+'数据-取费表'!C42),0)</f>
        <v>1445</v>
      </c>
      <c r="E52" s="3454" t="s">
        <v>1350</v>
      </c>
      <c r="F52" s="2550">
        <f>'数据-取费表'!B41</f>
        <v>5.6000000000000001E-2</v>
      </c>
      <c r="G52" s="2551"/>
      <c r="H52" s="2540"/>
      <c r="I52" s="1803"/>
      <c r="J52" s="3463">
        <v>1</v>
      </c>
      <c r="K52" s="3711" t="s">
        <v>1351</v>
      </c>
      <c r="L52" s="3711"/>
      <c r="M52" s="2521" t="b">
        <f>D48</f>
        <v>0</v>
      </c>
      <c r="N52" s="3463" t="str">
        <f>E48</f>
        <v>销售额×税（费）率</v>
      </c>
      <c r="O52" s="2522">
        <f>F48</f>
        <v>5.6000000000000001E-2</v>
      </c>
    </row>
    <row r="53" spans="1:35" ht="12" customHeight="1">
      <c r="A53" s="3453" t="s">
        <v>1352</v>
      </c>
      <c r="B53" s="3735" t="s">
        <v>2286</v>
      </c>
      <c r="C53" s="3736"/>
      <c r="D53" s="1083">
        <f ca="1">ROUND(D45*'数据-取费表'!B41/(1+'数据-取费表'!C42),0)</f>
        <v>1445</v>
      </c>
      <c r="E53" s="3454" t="s">
        <v>1350</v>
      </c>
      <c r="F53" s="2550">
        <f>'数据-取费表'!B41</f>
        <v>5.6000000000000001E-2</v>
      </c>
      <c r="G53" s="2551"/>
      <c r="H53" s="2540"/>
      <c r="I53" s="1803"/>
      <c r="J53" s="3463">
        <v>2</v>
      </c>
      <c r="K53" s="3711" t="s">
        <v>1353</v>
      </c>
      <c r="L53" s="3711"/>
      <c r="M53" s="2521">
        <f t="shared" ref="M53:O54" ca="1" si="0">D55</f>
        <v>14</v>
      </c>
      <c r="N53" s="3463" t="str">
        <f t="shared" si="0"/>
        <v>销售额×税（费）率</v>
      </c>
      <c r="O53" s="2522" t="str">
        <f t="shared" si="0"/>
        <v>免征</v>
      </c>
    </row>
    <row r="54" spans="1:35" ht="12" customHeight="1">
      <c r="A54" s="3453" t="s">
        <v>1354</v>
      </c>
      <c r="B54" s="3735" t="s">
        <v>2287</v>
      </c>
      <c r="C54" s="3736"/>
      <c r="D54" s="1083">
        <f ca="1">C68</f>
        <v>1445</v>
      </c>
      <c r="E54" s="326" t="s">
        <v>1355</v>
      </c>
      <c r="F54" s="2550">
        <f>'数据-取费表'!B41</f>
        <v>5.6000000000000001E-2</v>
      </c>
      <c r="G54" s="2551"/>
      <c r="H54" s="2552"/>
      <c r="I54" s="1803"/>
      <c r="J54" s="3463">
        <v>3</v>
      </c>
      <c r="K54" s="3711" t="s">
        <v>1356</v>
      </c>
      <c r="L54" s="3711"/>
      <c r="M54" s="2521">
        <f t="shared" ca="1" si="0"/>
        <v>15338</v>
      </c>
      <c r="N54" s="3463" t="str">
        <f t="shared" si="0"/>
        <v>增值额×税（费）率</v>
      </c>
      <c r="O54" s="2523" t="str">
        <f t="shared" si="0"/>
        <v>免征</v>
      </c>
    </row>
    <row r="55" spans="1:35" ht="24" customHeight="1">
      <c r="A55" s="3771" t="s">
        <v>1357</v>
      </c>
      <c r="B55" s="3749"/>
      <c r="C55" s="3749"/>
      <c r="D55" s="3465">
        <f ca="1">IF(H55="个人住宅",0,ROUND(D45*I55,0))</f>
        <v>14</v>
      </c>
      <c r="E55" s="3454" t="s">
        <v>1358</v>
      </c>
      <c r="F55" s="2550" t="str">
        <f>IF(H55="正常",I55,"免征")</f>
        <v>免征</v>
      </c>
      <c r="G55" s="2551"/>
      <c r="H55" s="2546"/>
      <c r="I55" s="164">
        <f>'数据-取费表'!B49</f>
        <v>5.0000000000000001E-4</v>
      </c>
      <c r="J55" s="3463">
        <f>IF(H59="非个人房产","",4)</f>
        <v>4</v>
      </c>
      <c r="K55" s="3711" t="str">
        <f>IF(H59="非个人房产","——","个人所得税")</f>
        <v>个人所得税</v>
      </c>
      <c r="L55" s="3711"/>
      <c r="M55" s="2524">
        <f ca="1">D59</f>
        <v>258</v>
      </c>
      <c r="N55" s="3464" t="str">
        <f>E59</f>
        <v>差额计税</v>
      </c>
      <c r="O55" s="2525">
        <f>F59</f>
        <v>0.01</v>
      </c>
    </row>
    <row r="56" spans="1:35" ht="25.2">
      <c r="A56" s="3771" t="s">
        <v>1359</v>
      </c>
      <c r="B56" s="3749"/>
      <c r="C56" s="3749"/>
      <c r="D56" s="3465">
        <f ca="1">IF(H56="个人住宅",D57,D58)</f>
        <v>15338</v>
      </c>
      <c r="E56" s="3454" t="s">
        <v>1360</v>
      </c>
      <c r="F56" s="2550" t="str">
        <f>IF(H56="正常",F58,"免征")</f>
        <v>免征</v>
      </c>
      <c r="G56" s="2553" t="s">
        <v>1361</v>
      </c>
      <c r="H56" s="2554"/>
      <c r="I56" s="1804"/>
      <c r="J56" s="3463" t="str">
        <f>IF(项目基本情况!K6="上海银行",IF(J55="",4,J55+1),"")</f>
        <v/>
      </c>
      <c r="K56" s="3692" t="str">
        <f>IF(项目基本情况!K6="上海银行","其他处置费用","")</f>
        <v/>
      </c>
      <c r="L56" s="3693"/>
      <c r="M56" s="2521" t="str">
        <f>IF(项目基本情况!K6="上海银行",M69,"")</f>
        <v/>
      </c>
      <c r="N56" s="3692" t="str">
        <f>IF(项目基本情况!K6="上海银行","包含处置中涉及的律师、诉讼、拍卖、评估等费用","")</f>
        <v/>
      </c>
      <c r="O56" s="3695"/>
    </row>
    <row r="57" spans="1:35" ht="13.2">
      <c r="A57" s="3453" t="s">
        <v>1337</v>
      </c>
      <c r="B57" s="3735" t="s">
        <v>1362</v>
      </c>
      <c r="C57" s="3736"/>
      <c r="D57" s="1586">
        <v>0</v>
      </c>
      <c r="E57" s="323" t="s">
        <v>1339</v>
      </c>
      <c r="F57" s="301"/>
      <c r="G57" s="2551"/>
      <c r="H57" s="2555"/>
      <c r="I57" s="1804"/>
      <c r="J57" s="3711">
        <f>IF(AND(J55="",J56=""),4,IF(项目基本情况!K6="上海银行",'结果表-地下商业2'!J56+1,'结果表-地下商业2'!J55+1))</f>
        <v>5</v>
      </c>
      <c r="K57" s="3711" t="s">
        <v>1363</v>
      </c>
      <c r="L57" s="2526" t="s">
        <v>1364</v>
      </c>
      <c r="M57" s="2527"/>
      <c r="N57" s="2528">
        <f ca="1">SUMIF(M52:M56,"&lt;9e307")</f>
        <v>15610</v>
      </c>
      <c r="O57" s="2529"/>
      <c r="P57" s="2686">
        <f ca="1">N57/M49</f>
        <v>0.57603601608915456</v>
      </c>
    </row>
    <row r="58" spans="1:35" ht="25.2">
      <c r="A58" s="3453" t="s">
        <v>1348</v>
      </c>
      <c r="B58" s="3735" t="s">
        <v>1365</v>
      </c>
      <c r="C58" s="3734"/>
      <c r="D58" s="3465">
        <f ca="1">IF(H58="转让取得",C81,C97)</f>
        <v>15338</v>
      </c>
      <c r="E58" s="3454" t="s">
        <v>1360</v>
      </c>
      <c r="F58" s="301" t="s">
        <v>28</v>
      </c>
      <c r="G58" s="2551"/>
      <c r="H58" s="2554"/>
      <c r="I58" s="1804"/>
      <c r="J58" s="3711"/>
      <c r="K58" s="3711"/>
      <c r="L58" s="2526" t="s">
        <v>1366</v>
      </c>
      <c r="M58" s="2530"/>
      <c r="N58" s="2531" t="str">
        <f ca="1">NUMBERSTRING(INT(N57*10000),2)&amp;"元整"</f>
        <v>壹亿伍仟陆佰壹拾万元整</v>
      </c>
      <c r="O58" s="2532"/>
    </row>
    <row r="59" spans="1:35" ht="24.6" thickBot="1">
      <c r="A59" s="3715" t="s">
        <v>1367</v>
      </c>
      <c r="B59" s="3716"/>
      <c r="C59" s="3716"/>
      <c r="D59" s="2556">
        <f ca="1">IF(H59="非个人房产","——",IF(H59="个人住宅（满五唯一有凭证）",0,IF(H59="个人其他（无凭证）",ROUND(D45*F59,0),ROUND(C67*F59,0))))</f>
        <v>258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13">
        <f>J57+1</f>
        <v>6</v>
      </c>
      <c r="K59" s="3711" t="s">
        <v>1368</v>
      </c>
      <c r="L59" s="3463" t="s">
        <v>1364</v>
      </c>
      <c r="M59" s="2533"/>
      <c r="N59" s="2534">
        <f ca="1">M49-N57</f>
        <v>11489</v>
      </c>
      <c r="O59" s="2535"/>
    </row>
    <row r="60" spans="1:35" ht="12" customHeight="1">
      <c r="A60" s="1805"/>
      <c r="B60" s="1743"/>
      <c r="C60" s="1743"/>
      <c r="D60" s="1743"/>
      <c r="E60" s="1574"/>
      <c r="F60" s="1804"/>
      <c r="G60" s="1804"/>
      <c r="H60" s="1806"/>
      <c r="I60" s="128"/>
      <c r="J60" s="3714"/>
      <c r="K60" s="3711"/>
      <c r="L60" s="2526" t="s">
        <v>1366</v>
      </c>
      <c r="M60" s="2530"/>
      <c r="N60" s="2531" t="str">
        <f ca="1">NUMBERSTRING(INT(N59*10000),2)&amp;"元整"</f>
        <v>壹亿壹仟肆佰捌拾玖万元整</v>
      </c>
      <c r="O60" s="2532"/>
    </row>
    <row r="61" spans="1:35" ht="13.8" thickBot="1">
      <c r="A61" s="3770" t="s">
        <v>1369</v>
      </c>
      <c r="B61" s="3770"/>
      <c r="C61" s="3770"/>
      <c r="D61" s="3770"/>
      <c r="E61" s="3770"/>
      <c r="F61" s="1804"/>
      <c r="G61" s="1804"/>
      <c r="H61" s="1806"/>
      <c r="I61" s="128"/>
      <c r="J61" s="3463">
        <f>J59+1</f>
        <v>7</v>
      </c>
      <c r="K61" s="3711" t="s">
        <v>1370</v>
      </c>
      <c r="L61" s="3711"/>
      <c r="M61" s="2536"/>
      <c r="N61" s="2537">
        <f ca="1">ROUND(N59*10000/'数据-汇总表'!E3,0)</f>
        <v>1158</v>
      </c>
      <c r="O61" s="2538"/>
    </row>
    <row r="62" spans="1:35" ht="13.2">
      <c r="A62" s="3730" t="s">
        <v>1371</v>
      </c>
      <c r="B62" s="3731"/>
      <c r="C62" s="3457"/>
      <c r="D62" s="3457" t="s">
        <v>1372</v>
      </c>
      <c r="E62" s="165" t="s">
        <v>1373</v>
      </c>
      <c r="F62" s="1804"/>
      <c r="G62" s="1804"/>
      <c r="H62" s="1806"/>
      <c r="I62" s="128"/>
    </row>
    <row r="63" spans="1:35" ht="13.2">
      <c r="A63" s="172" t="s">
        <v>330</v>
      </c>
      <c r="B63" s="166" t="s">
        <v>1374</v>
      </c>
      <c r="C63" s="2560">
        <f ca="1">ROUND((C64+C65)/(1+'数据-取费表'!C42),0)</f>
        <v>25809</v>
      </c>
      <c r="D63" s="166"/>
      <c r="E63" s="167"/>
      <c r="F63" s="1804"/>
      <c r="G63" s="1804"/>
      <c r="H63" s="1806"/>
      <c r="I63" s="128"/>
      <c r="J63" s="3694" t="s">
        <v>1375</v>
      </c>
      <c r="K63" s="3466" t="s">
        <v>1376</v>
      </c>
      <c r="L63" s="3466">
        <f ca="1">IF(M49&gt;10000,M49*0.5%,IF(AND(M49&gt;1000,M49&lt;=10000),M49*1%,IF(AND(M49&gt;100,M49&lt;=1000),M49*3%,IF(AND(M49&gt;10,M49&lt;=100),M49*5%,M49*8%))))</f>
        <v>135.495</v>
      </c>
      <c r="M63" s="301">
        <f ca="1">ROUND(L63,1)</f>
        <v>135.5</v>
      </c>
      <c r="N63" s="2539"/>
      <c r="Z63" s="1748"/>
      <c r="AI63" s="1749"/>
    </row>
    <row r="64" spans="1:35" ht="14.25" customHeight="1">
      <c r="A64" s="168" t="s">
        <v>325</v>
      </c>
      <c r="B64" s="169" t="s">
        <v>1377</v>
      </c>
      <c r="C64" s="2561">
        <f ca="1">D45</f>
        <v>27099</v>
      </c>
      <c r="D64" s="169" t="s">
        <v>26</v>
      </c>
      <c r="E64" s="171"/>
      <c r="F64" s="1804"/>
      <c r="G64" s="1804"/>
      <c r="H64" s="1806"/>
      <c r="I64" s="128"/>
      <c r="J64" s="3694"/>
      <c r="K64" s="3466" t="s">
        <v>1378</v>
      </c>
      <c r="L64" s="3466">
        <f ca="1">IF(M49&gt;2000,M49*0.5%,IF(AND(M49&gt;1000,M49&lt;=2000),M49*0.6%,IF(AND(M49&gt;500,M49&lt;=1000),M49*0.7%,IF(AND(M49&gt;200,M49&lt;=500),M49*0.8%,IF(AND(M49&gt;100,M49&lt;=200),M49*0.9%,IF(AND(M49&gt;50,M49&lt;=100),M49*1%,IF(AND(M49&gt;20,M49&lt;=50),M49*1.5%,IF(AND(M49&gt;10,M49&lt;=20),M49*2%,IF(AND(M49&gt;1,M49&lt;=10),M49*2.5%)))))))))</f>
        <v>135.495</v>
      </c>
      <c r="M64" s="301">
        <f t="shared" ref="M64:M65" ca="1" si="1">ROUND(L64,1)</f>
        <v>135.5</v>
      </c>
      <c r="N64" s="2540" t="s">
        <v>1379</v>
      </c>
      <c r="Z64" s="1748"/>
      <c r="AI64" s="1749"/>
    </row>
    <row r="65" spans="1:35" ht="14.25" customHeight="1">
      <c r="A65" s="168" t="s">
        <v>326</v>
      </c>
      <c r="B65" s="169" t="s">
        <v>1380</v>
      </c>
      <c r="C65" s="2562"/>
      <c r="D65" s="169"/>
      <c r="E65" s="171"/>
      <c r="F65" s="1804"/>
      <c r="G65" s="1804"/>
      <c r="H65" s="1806"/>
      <c r="I65" s="128"/>
      <c r="J65" s="3694"/>
      <c r="K65" s="3466" t="s">
        <v>1381</v>
      </c>
      <c r="L65" s="3466">
        <f ca="1">IF(M49&gt;1000,M49*0.1%,IF(AND(M49&gt;500,M49&lt;=1000),M49*0.5%,IF(AND(M49&gt;50,M49&lt;=500),M49*1%,IF(AND(M49&gt;1,M49&lt;=50),M49*1.5%))))</f>
        <v>27.099</v>
      </c>
      <c r="M65" s="301">
        <f t="shared" ca="1" si="1"/>
        <v>27.1</v>
      </c>
      <c r="N65" s="2540" t="s">
        <v>1379</v>
      </c>
      <c r="Z65" s="1748"/>
      <c r="AI65" s="1749"/>
    </row>
    <row r="66" spans="1:35" ht="14.25" customHeight="1">
      <c r="A66" s="172" t="s">
        <v>327</v>
      </c>
      <c r="B66" s="173" t="s">
        <v>1382</v>
      </c>
      <c r="C66" s="2563"/>
      <c r="D66" s="173" t="s">
        <v>26</v>
      </c>
      <c r="E66" s="1334" t="s">
        <v>667</v>
      </c>
      <c r="F66" s="1804"/>
      <c r="G66" s="1804"/>
      <c r="H66" s="1806"/>
      <c r="I66" s="128"/>
      <c r="J66" s="3694"/>
      <c r="K66" s="3466" t="s">
        <v>1383</v>
      </c>
      <c r="L66" s="3466">
        <f ca="1">M49*0.5%</f>
        <v>135.495</v>
      </c>
      <c r="M66" s="301">
        <f ca="1">IF(L66&gt;0.5,0.5,ROUND(L66,0))</f>
        <v>0.5</v>
      </c>
      <c r="N66" s="2540" t="s">
        <v>1384</v>
      </c>
      <c r="Z66" s="1748"/>
      <c r="AI66" s="1749"/>
    </row>
    <row r="67" spans="1:35" ht="14.25" customHeight="1">
      <c r="A67" s="172" t="s">
        <v>328</v>
      </c>
      <c r="B67" s="173" t="s">
        <v>1385</v>
      </c>
      <c r="C67" s="2564">
        <f ca="1">C63-C66</f>
        <v>25809</v>
      </c>
      <c r="D67" s="169" t="s">
        <v>26</v>
      </c>
      <c r="E67" s="171"/>
      <c r="F67" s="1804"/>
      <c r="G67" s="1804"/>
      <c r="H67" s="1806"/>
      <c r="I67" s="128"/>
      <c r="J67" s="3694"/>
      <c r="K67" s="3466" t="s">
        <v>1386</v>
      </c>
      <c r="L67" s="3466">
        <f ca="1">IF(M49&gt;=10000,(8.25+(M49-10000)*0.01%),IF(AND(M49&gt;=8000,M49&lt;10000),(7.85+(M49-8000)*0.02%),IF(AND(M49&gt;=5000,M49&lt;8000),(6.65+(M49-5000)*0.04%),IF(AND(M49&gt;=2000,M49&lt;5000),(4.25+(PM49-2000)*0.08%),IF(AND(M49&gt;=1000,M49&lt;2000),(2.75+(M49-1000)*0.15%),IF(AND(M49&gt;=100,M49&lt;1000),(0.5+(M49-100)*0.25%),IF(AND(M49&gt;0,M49&lt;100),M49*0.5%)))))))</f>
        <v>9.9598999999999993</v>
      </c>
      <c r="M67" s="301">
        <f ca="1">ROUND(L67*0.9,1)</f>
        <v>9</v>
      </c>
      <c r="N67" s="2539"/>
      <c r="Z67" s="1748"/>
      <c r="AI67" s="1749"/>
    </row>
    <row r="68" spans="1:35" ht="14.25" customHeight="1" thickBot="1">
      <c r="A68" s="175" t="s">
        <v>329</v>
      </c>
      <c r="B68" s="176" t="s">
        <v>1387</v>
      </c>
      <c r="C68" s="2565">
        <f ca="1">IF(C67&lt;=0,0,ROUND(C67*D68,0))</f>
        <v>1445</v>
      </c>
      <c r="D68" s="2566">
        <f>'数据-取费表'!B41</f>
        <v>5.6000000000000001E-2</v>
      </c>
      <c r="E68" s="177"/>
      <c r="F68" s="1804"/>
      <c r="G68" s="1804"/>
      <c r="H68" s="1806"/>
      <c r="I68" s="128"/>
      <c r="J68" s="3694"/>
      <c r="K68" s="3466" t="s">
        <v>1388</v>
      </c>
      <c r="L68" s="3466">
        <f ca="1">IF(M49&gt;10000,M49*0.5%,IF(AND(M49&gt;5000,M49&lt;=10000),M49*1%,IF(AND(M49&gt;1000,M49&lt;=5000),M49*2%,IF(AND(M49&gt;200,M49&lt;=1000),M49*3%,M49*5%))))</f>
        <v>135.495</v>
      </c>
      <c r="M68" s="301">
        <f ca="1">ROUND(L68,1)</f>
        <v>135.5</v>
      </c>
      <c r="N68" s="2539"/>
      <c r="Z68" s="1748"/>
      <c r="AI68" s="1749"/>
    </row>
    <row r="69" spans="1:35" s="1768" customFormat="1" ht="16.5" customHeight="1">
      <c r="A69" s="1807"/>
      <c r="B69" s="1808"/>
      <c r="C69" s="1809"/>
      <c r="D69" s="1810"/>
      <c r="E69" s="1811"/>
      <c r="F69" s="1574"/>
      <c r="G69" s="1574"/>
      <c r="H69" s="1573"/>
      <c r="I69" s="1743"/>
      <c r="J69" s="3694"/>
      <c r="K69" s="3466" t="s">
        <v>1389</v>
      </c>
      <c r="L69" s="3466"/>
      <c r="M69" s="301">
        <f ca="1">ROUND(SUM(M63:M68),0)</f>
        <v>443</v>
      </c>
      <c r="N69" s="2541">
        <f ca="1">M69/M49</f>
        <v>1.634746669618805E-2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738" t="s">
        <v>1390</v>
      </c>
      <c r="B70" s="3739"/>
      <c r="C70" s="3739"/>
      <c r="D70" s="3739"/>
      <c r="E70" s="3739"/>
      <c r="F70" s="3739"/>
      <c r="G70" s="3739"/>
      <c r="H70" s="373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730" t="s">
        <v>1371</v>
      </c>
      <c r="B71" s="3731"/>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2" t="s">
        <v>330</v>
      </c>
      <c r="B72" s="173" t="s">
        <v>1391</v>
      </c>
      <c r="C72" s="2564">
        <f ca="1">ROUND(D45/(1+'数据-取费表'!C42),0)</f>
        <v>25809</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2" t="s">
        <v>327</v>
      </c>
      <c r="B73" s="162" t="s">
        <v>1392</v>
      </c>
      <c r="C73" s="2564">
        <f ca="1">C74+C78</f>
        <v>155</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35" t="s">
        <v>1398</v>
      </c>
      <c r="F76" s="3734"/>
      <c r="G76" s="3734"/>
      <c r="H76" s="373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155</v>
      </c>
      <c r="D78" s="2573">
        <f>'数据-取费表'!B43</f>
        <v>6.000000000000001E-3</v>
      </c>
      <c r="E78" s="3727" t="s">
        <v>1402</v>
      </c>
      <c r="F78" s="3728"/>
      <c r="G78" s="3728"/>
      <c r="H78" s="372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2" t="s">
        <v>328</v>
      </c>
      <c r="B79" s="173" t="s">
        <v>1403</v>
      </c>
      <c r="C79" s="2564">
        <f ca="1">C72-C73</f>
        <v>25654</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165.50967741935483</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5" t="s">
        <v>336</v>
      </c>
      <c r="B81" s="176" t="s">
        <v>1405</v>
      </c>
      <c r="C81" s="2575">
        <f ca="1">ROUND(IF(C79&lt;=0,0,IF(C80&gt;=200%,C79*60%-C73*35%,IF(C80&gt;=100%,C79*50%-C73*15%,IF(C80&gt;=50%,C79*40%-C73*5%,IF(C80&lt;50%,C79*30%,0))))),0)</f>
        <v>15338</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738" t="s">
        <v>1406</v>
      </c>
      <c r="B83" s="3739"/>
      <c r="C83" s="3739"/>
      <c r="D83" s="3739"/>
      <c r="E83" s="3739"/>
      <c r="F83" s="3739"/>
      <c r="G83" s="3739"/>
      <c r="H83" s="373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730" t="s">
        <v>1371</v>
      </c>
      <c r="B84" s="3731"/>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2" t="s">
        <v>330</v>
      </c>
      <c r="B85" s="173" t="s">
        <v>1391</v>
      </c>
      <c r="C85" s="2564">
        <f ca="1">ROUND(D45/(1+'数据-取费表'!C42),0)</f>
        <v>25809</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2" t="s">
        <v>327</v>
      </c>
      <c r="B86" s="162" t="s">
        <v>1392</v>
      </c>
      <c r="C86" s="2564">
        <f ca="1">IF(H88="仅含出让金",C87+C90+C91+C92+C93+C94,C87+C91+C92+C93+C94)</f>
        <v>155</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8" t="s">
        <v>326</v>
      </c>
      <c r="B90" s="169" t="s">
        <v>1412</v>
      </c>
      <c r="C90" s="2578"/>
      <c r="D90" s="2573"/>
      <c r="E90" s="192" t="str">
        <f>IF(H88="-","土地取得成本中已包含该笔费用"," ")</f>
        <v xml:space="preserve"> </v>
      </c>
      <c r="F90" s="3451"/>
      <c r="G90" s="3696" t="s">
        <v>2125</v>
      </c>
      <c r="H90" s="3697"/>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727" t="s">
        <v>1415</v>
      </c>
      <c r="F91" s="3728"/>
      <c r="G91" s="372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727" t="s">
        <v>1418</v>
      </c>
      <c r="F92" s="3728"/>
      <c r="G92" s="3728"/>
      <c r="H92" s="3729"/>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155</v>
      </c>
      <c r="D93" s="2573">
        <f>'数据-取费表'!B43</f>
        <v>6.000000000000001E-3</v>
      </c>
      <c r="E93" s="3727" t="s">
        <v>1402</v>
      </c>
      <c r="F93" s="3728"/>
      <c r="G93" s="3728"/>
      <c r="H93" s="372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72" t="s">
        <v>1422</v>
      </c>
      <c r="F94" s="3773"/>
      <c r="G94" s="3773"/>
      <c r="H94" s="377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2" t="s">
        <v>328</v>
      </c>
      <c r="B95" s="173" t="s">
        <v>1403</v>
      </c>
      <c r="C95" s="2564">
        <f ca="1">ROUND(C85-C86,0)</f>
        <v>25654</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165.50967741935483</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5" t="s">
        <v>336</v>
      </c>
      <c r="B97" s="176" t="s">
        <v>1405</v>
      </c>
      <c r="C97" s="2575">
        <f ca="1">ROUND(IF(C95&lt;=0,0,IF(C96&gt;=200%,C95*60%-C86*35%,IF(C96&gt;=100%,C95*50%-C86*15%,IF(C96&gt;=50%,C95*40%-C86*5%,IF(C96&lt;50%,C95*30%,0))))),0)</f>
        <v>15338</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7" t="s">
        <v>1424</v>
      </c>
      <c r="B100" s="3678"/>
      <c r="C100" s="3678"/>
      <c r="D100" s="3712"/>
      <c r="E100" s="3678" t="s">
        <v>1425</v>
      </c>
      <c r="F100" s="3678"/>
      <c r="G100" s="3678"/>
      <c r="H100" s="3712"/>
      <c r="I100" s="128"/>
    </row>
    <row r="101" spans="1:35" ht="18.75" customHeight="1">
      <c r="A101" s="3720" t="s">
        <v>1426</v>
      </c>
      <c r="B101" s="3721"/>
      <c r="C101" s="2581" t="str">
        <f>C4</f>
        <v>成本法-地下商业2</v>
      </c>
      <c r="D101" s="2582" t="str">
        <f>D4</f>
        <v>收益法-地下商业2</v>
      </c>
      <c r="E101" s="3690" t="s">
        <v>1427</v>
      </c>
      <c r="F101" s="3691"/>
      <c r="G101" s="1823" t="s">
        <v>1428</v>
      </c>
      <c r="H101" s="2591">
        <f ca="1">H118</f>
        <v>27099</v>
      </c>
      <c r="I101" s="128"/>
    </row>
    <row r="102" spans="1:35" ht="18.75" customHeight="1">
      <c r="A102" s="3722" t="s">
        <v>1429</v>
      </c>
      <c r="B102" s="2580" t="s">
        <v>1428</v>
      </c>
      <c r="C102" s="2581">
        <f ca="1">IF(D32="楼面单价",ROUND(C19,0),C19)</f>
        <v>23807</v>
      </c>
      <c r="D102" s="2582">
        <f ca="1">IF(D32="楼面单价",ROUND(D19,0),D19)</f>
        <v>30391</v>
      </c>
      <c r="E102" s="3690"/>
      <c r="F102" s="3691"/>
      <c r="G102" s="1823" t="s">
        <v>1430</v>
      </c>
      <c r="H102" s="2551">
        <f ca="1">I118</f>
        <v>16172</v>
      </c>
      <c r="I102" s="128"/>
    </row>
    <row r="103" spans="1:35" ht="42.75" customHeight="1">
      <c r="A103" s="3722"/>
      <c r="B103" s="2580" t="s">
        <v>1430</v>
      </c>
      <c r="C103" s="2583">
        <f ca="1">C20</f>
        <v>14208</v>
      </c>
      <c r="D103" s="2584">
        <f ca="1">D20</f>
        <v>18137</v>
      </c>
      <c r="E103" s="3683" t="s">
        <v>1431</v>
      </c>
      <c r="F103" s="3684"/>
      <c r="G103" s="1824" t="s">
        <v>1432</v>
      </c>
      <c r="H103" s="2591">
        <f>IF(D36="正常操作",H104+H105+H106,H105+H106)</f>
        <v>0</v>
      </c>
      <c r="I103" s="128"/>
    </row>
    <row r="104" spans="1:35" ht="18.75" customHeight="1">
      <c r="A104" s="3722" t="s">
        <v>1433</v>
      </c>
      <c r="B104" s="2585" t="s">
        <v>1428</v>
      </c>
      <c r="C104" s="2586">
        <f ca="1">H118</f>
        <v>27099</v>
      </c>
      <c r="D104" s="2587"/>
      <c r="E104" s="1670" t="s">
        <v>1434</v>
      </c>
      <c r="F104" s="1662"/>
      <c r="G104" s="1824" t="s">
        <v>1432</v>
      </c>
      <c r="H104" s="2592">
        <f>IF(D36="同一抵押权人同一抵押物续贷",C36&amp;"（续贷，未扣减，详见特别提示）",C36)</f>
        <v>0</v>
      </c>
      <c r="I104" s="128"/>
    </row>
    <row r="105" spans="1:35" ht="18.75" customHeight="1" thickBot="1">
      <c r="A105" s="3732"/>
      <c r="B105" s="2588" t="s">
        <v>1430</v>
      </c>
      <c r="C105" s="2589">
        <f ca="1">I118</f>
        <v>16172</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3" t="str">
        <f>IF(项目基本情况!E8="已注销","——","3.房地产抵押价值")</f>
        <v>3.房地产抵押价值</v>
      </c>
      <c r="F107" s="3691"/>
      <c r="G107" s="1823" t="s">
        <v>1428</v>
      </c>
      <c r="H107" s="2591">
        <f ca="1">IF(E107="——","——",H101-H103)</f>
        <v>27099</v>
      </c>
      <c r="I107" s="128"/>
    </row>
    <row r="108" spans="1:35" ht="18.75" customHeight="1">
      <c r="A108" s="128"/>
      <c r="B108" s="128"/>
      <c r="C108" s="128"/>
      <c r="D108" s="128"/>
      <c r="E108" s="3723"/>
      <c r="F108" s="3691"/>
      <c r="G108" s="1823" t="s">
        <v>1430</v>
      </c>
      <c r="H108" s="2551">
        <f ca="1">IF(H107=H101,H102,ROUND(H107*10000/'数据-汇总表'!E3,0))</f>
        <v>16172</v>
      </c>
      <c r="I108" s="128"/>
    </row>
    <row r="109" spans="1:35" ht="18.75" customHeight="1">
      <c r="A109" s="128"/>
      <c r="B109" s="128"/>
      <c r="C109" s="128"/>
      <c r="D109" s="128"/>
      <c r="E109" s="3723" t="str">
        <f>IF(项目基本情况!E8="已注销及未注销","4.抵押担保权已注销时的房地产抵押价值",IF(项目基本情况!E8="已注销","3.抵押担保权已注销时的房地产抵押价值","——"))</f>
        <v>——</v>
      </c>
      <c r="F109" s="3691"/>
      <c r="G109" s="1823" t="s">
        <v>1428</v>
      </c>
      <c r="H109" s="2594" t="str">
        <f>IF(E109="——","——",H101-H105-H106)</f>
        <v>——</v>
      </c>
      <c r="I109" s="128"/>
    </row>
    <row r="110" spans="1:35" ht="18.75" customHeight="1">
      <c r="A110" s="128"/>
      <c r="B110" s="128"/>
      <c r="C110" s="128"/>
      <c r="D110" s="128"/>
      <c r="E110" s="3723"/>
      <c r="F110" s="3691"/>
      <c r="G110" s="1823" t="s">
        <v>1430</v>
      </c>
      <c r="H110" s="2551" t="str">
        <f>IF(H109="——","——",ROUND(H109*10000/'数据-汇总表'!E3,0))</f>
        <v>——</v>
      </c>
      <c r="I110" s="128"/>
    </row>
    <row r="111" spans="1:35" ht="18.75" customHeight="1">
      <c r="A111" s="128"/>
      <c r="B111" s="128"/>
      <c r="C111" s="128"/>
      <c r="D111" s="128"/>
      <c r="E111" s="3724" t="str">
        <f>IF(项目基本情况!E9="抵押净值",IF(OR(项目基本情况!E8="已注销",项目基本情况!E8="房地产抵押价值"),"4.抵押净值","5.抵押净值"),"——")</f>
        <v>——</v>
      </c>
      <c r="F111" s="3710"/>
      <c r="G111" s="1823" t="s">
        <v>1428</v>
      </c>
      <c r="H111" s="2591" t="str">
        <f>IF(E111="——","——",N59)</f>
        <v>——</v>
      </c>
      <c r="I111" s="128"/>
    </row>
    <row r="112" spans="1:35" ht="18.75" customHeight="1" thickBot="1">
      <c r="A112" s="128"/>
      <c r="B112" s="128"/>
      <c r="C112" s="128"/>
      <c r="D112" s="128"/>
      <c r="E112" s="3725"/>
      <c r="F112" s="3726"/>
      <c r="G112" s="1826" t="s">
        <v>1430</v>
      </c>
      <c r="H112" s="2595" t="str">
        <f>IF(E111="——","——",N61)</f>
        <v>——</v>
      </c>
      <c r="I112" s="128"/>
    </row>
    <row r="113" spans="1:27" ht="18.75" customHeight="1">
      <c r="A113" s="128"/>
      <c r="B113" s="128"/>
      <c r="C113" s="128"/>
      <c r="D113" s="128"/>
      <c r="E113" s="3733" t="s">
        <v>1436</v>
      </c>
      <c r="F113" s="3733"/>
      <c r="G113" s="3733"/>
      <c r="H113" s="3733"/>
      <c r="I113" s="128"/>
    </row>
    <row r="114" spans="1:27" ht="3.75" customHeight="1">
      <c r="A114" s="1743"/>
      <c r="B114" s="1743"/>
      <c r="C114" s="1743"/>
      <c r="D114" s="1743"/>
      <c r="E114" s="1805"/>
      <c r="F114" s="1805"/>
      <c r="G114" s="1805"/>
      <c r="H114" s="1805"/>
      <c r="I114" s="1743"/>
    </row>
    <row r="115" spans="1:27" ht="18.75" customHeight="1">
      <c r="A115" s="3741" t="s">
        <v>1438</v>
      </c>
      <c r="B115" s="3742"/>
      <c r="C115" s="3742"/>
      <c r="D115" s="3742"/>
      <c r="E115" s="3742"/>
      <c r="F115" s="3742"/>
      <c r="G115" s="3742"/>
      <c r="H115" s="3742"/>
      <c r="I115" s="3743"/>
    </row>
    <row r="116" spans="1:27" ht="27" customHeight="1">
      <c r="A116" s="3698" t="s">
        <v>1439</v>
      </c>
      <c r="B116" s="3702" t="s">
        <v>1440</v>
      </c>
      <c r="C116" s="3702" t="s">
        <v>1441</v>
      </c>
      <c r="D116" s="3708" t="s">
        <v>1442</v>
      </c>
      <c r="E116" s="3709"/>
      <c r="F116" s="3740" t="s">
        <v>1443</v>
      </c>
      <c r="G116" s="3740"/>
      <c r="H116" s="3698" t="s">
        <v>1444</v>
      </c>
      <c r="I116" s="3698"/>
    </row>
    <row r="117" spans="1:27" ht="18.75" customHeight="1">
      <c r="A117" s="3698"/>
      <c r="B117" s="3703"/>
      <c r="C117" s="3703"/>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16756.23</v>
      </c>
      <c r="C118" s="3452">
        <f>M19</f>
        <v>2117.5700000000002</v>
      </c>
      <c r="D118" s="3452">
        <f ca="1">ROUND(IF(D32="总价",C34,E118*B118/10000),0)</f>
        <v>13062</v>
      </c>
      <c r="E118" s="3452">
        <f ca="1">ROUND(IF(C33="自定义",IF(D32="楼面单价",C34,D118*10000/B118),I118-G118),0)</f>
        <v>7795</v>
      </c>
      <c r="F118" s="3452">
        <f ca="1">ROUND(IF(D32="总价",C35,G118*B118/10000),0)</f>
        <v>14037</v>
      </c>
      <c r="G118" s="3452">
        <f ca="1">ROUND(IF(D32="楼面单价",C35,F118*10000/B118),0)</f>
        <v>8377</v>
      </c>
      <c r="H118" s="3452">
        <f ca="1">ROUND(IF(D32="总价",C32,I118*B118/10000),0)</f>
        <v>27099</v>
      </c>
      <c r="I118" s="3452">
        <f ca="1">ROUND(IF(D32="楼面单价",C32,H118*10000/B118),0)</f>
        <v>16172</v>
      </c>
    </row>
    <row r="119" spans="1:27" ht="18.75" customHeight="1">
      <c r="A119" s="3698" t="s">
        <v>1448</v>
      </c>
      <c r="B119" s="3698"/>
      <c r="C119" s="3698"/>
      <c r="D119" s="3704" t="str">
        <f ca="1">NUMBERSTRING(INT(D118*10000),2)&amp;"元整"</f>
        <v>壹亿叁仟零陆拾贰万元整</v>
      </c>
      <c r="E119" s="3705"/>
      <c r="F119" s="3704" t="str">
        <f ca="1">NUMBERSTRING(INT(F118*10000),2)&amp;"元整"</f>
        <v>壹亿肆仟零叁拾柒万元整</v>
      </c>
      <c r="G119" s="3705"/>
      <c r="H119" s="3704" t="str">
        <f ca="1">NUMBERSTRING(INT(H118*10000),2)&amp;"元整"</f>
        <v>贰亿柒仟零玖拾玖万元整</v>
      </c>
      <c r="I119" s="3705"/>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04" t="s">
        <v>1448</v>
      </c>
      <c r="B121" s="3706"/>
      <c r="C121" s="3705"/>
      <c r="D121" s="3704" t="str">
        <f>IF(D120=0,"零元整",NUMBERSTRING(INT(D120*10000),2)&amp;"元整")</f>
        <v>零元整</v>
      </c>
      <c r="E121" s="3706"/>
      <c r="F121" s="3706"/>
      <c r="G121" s="3706"/>
      <c r="H121" s="3706"/>
      <c r="I121" s="3705"/>
      <c r="AA121" s="723"/>
    </row>
    <row r="122" spans="1:27" ht="18.75" customHeight="1">
      <c r="A122" s="3710" t="str">
        <f>IF(项目基本情况!B9="房地产市场价值","",MID(E107,3,LEN(E107)-2))</f>
        <v>房地产抵押价值</v>
      </c>
      <c r="B122" s="3710"/>
      <c r="C122" s="3710"/>
      <c r="D122" s="3699">
        <f ca="1">H107</f>
        <v>27099</v>
      </c>
      <c r="E122" s="3700"/>
      <c r="F122" s="3700"/>
      <c r="G122" s="3700"/>
      <c r="H122" s="3700"/>
      <c r="I122" s="3701"/>
      <c r="AA122" s="723"/>
    </row>
    <row r="123" spans="1:27" ht="18.75" customHeight="1">
      <c r="A123" s="3698" t="s">
        <v>1448</v>
      </c>
      <c r="B123" s="3698"/>
      <c r="C123" s="3698"/>
      <c r="D123" s="3704" t="str">
        <f ca="1">NUMBERSTRING(INT(D122*10000),2)&amp;"元整"</f>
        <v>贰亿柒仟零玖拾玖万元整</v>
      </c>
      <c r="E123" s="3706"/>
      <c r="F123" s="3706"/>
      <c r="G123" s="3706"/>
      <c r="H123" s="3706"/>
      <c r="I123" s="3705"/>
      <c r="AA123" s="723"/>
    </row>
    <row r="124" spans="1:27" ht="18.75" customHeight="1">
      <c r="A124" s="3710" t="str">
        <f>IF(项目基本情况!B9="房地产市场价值","",MID(E109,3,LEN(E109)-2))</f>
        <v/>
      </c>
      <c r="B124" s="3710"/>
      <c r="C124" s="3710"/>
      <c r="D124" s="3699" t="str">
        <f>H109</f>
        <v>——</v>
      </c>
      <c r="E124" s="3700"/>
      <c r="F124" s="3700"/>
      <c r="G124" s="3700"/>
      <c r="H124" s="3700"/>
      <c r="I124" s="3701"/>
      <c r="AA124" s="723"/>
    </row>
    <row r="125" spans="1:27" ht="18.75" customHeight="1">
      <c r="A125" s="3698" t="s">
        <v>1448</v>
      </c>
      <c r="B125" s="3698"/>
      <c r="C125" s="3698"/>
      <c r="D125" s="3704" t="e">
        <f>NUMBERSTRING(INT(D124*10000),2)&amp;"元整"</f>
        <v>#VALUE!</v>
      </c>
      <c r="E125" s="3706"/>
      <c r="F125" s="3706"/>
      <c r="G125" s="3706"/>
      <c r="H125" s="3706"/>
      <c r="I125" s="3705"/>
      <c r="AA125" s="723"/>
    </row>
    <row r="126" spans="1:27" ht="18.75" customHeight="1">
      <c r="A126" s="3710" t="str">
        <f>IF(项目基本情况!B9="房地产市场价值","",MID(E111,3,LEN(E111)-2))</f>
        <v/>
      </c>
      <c r="B126" s="3710"/>
      <c r="C126" s="3710"/>
      <c r="D126" s="3699" t="str">
        <f>H111</f>
        <v>——</v>
      </c>
      <c r="E126" s="3700"/>
      <c r="F126" s="3700"/>
      <c r="G126" s="3700"/>
      <c r="H126" s="3700"/>
      <c r="I126" s="3701"/>
      <c r="AA126" s="723"/>
    </row>
    <row r="127" spans="1:27" ht="18.75" customHeight="1">
      <c r="A127" s="3698" t="s">
        <v>1448</v>
      </c>
      <c r="B127" s="3698"/>
      <c r="C127" s="3698"/>
      <c r="D127" s="3704" t="e">
        <f>NUMBERSTRING(INT(D126*10000),2)&amp;"元整"</f>
        <v>#VALUE!</v>
      </c>
      <c r="E127" s="3706"/>
      <c r="F127" s="3706"/>
      <c r="G127" s="3706"/>
      <c r="H127" s="3706"/>
      <c r="I127" s="3705"/>
      <c r="AA127" s="723"/>
    </row>
    <row r="128" spans="1:27" ht="21.75" customHeight="1">
      <c r="A128" s="3707" t="s">
        <v>1449</v>
      </c>
      <c r="B128" s="3707"/>
      <c r="C128" s="3707"/>
      <c r="D128" s="3707"/>
      <c r="E128" s="3707"/>
      <c r="F128" s="3707"/>
      <c r="G128" s="3707"/>
      <c r="H128" s="3707"/>
      <c r="I128" s="3707"/>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1457</v>
      </c>
      <c r="B1" s="1466" t="s">
        <v>3403</v>
      </c>
      <c r="C1" s="197"/>
      <c r="D1" s="197"/>
      <c r="E1" s="197"/>
      <c r="F1" s="197"/>
      <c r="G1" s="1122">
        <f>MATCH(B1,'数据-取费表'!A6:A16,0)+5</f>
        <v>9</v>
      </c>
    </row>
    <row r="2" spans="1:9" s="199" customFormat="1" ht="18" customHeight="1">
      <c r="A2" s="200" t="s">
        <v>1458</v>
      </c>
      <c r="B2" s="201">
        <f ca="1">IF(D2="——",C52,C52-E2)</f>
        <v>23807</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14208</v>
      </c>
      <c r="C3" s="198" t="s">
        <v>1461</v>
      </c>
      <c r="D3" s="198"/>
      <c r="E3" s="198"/>
      <c r="F3" s="198"/>
      <c r="G3" s="198"/>
    </row>
    <row r="4" spans="1:9" s="207" customFormat="1" ht="16.2">
      <c r="A4" s="204" t="s">
        <v>1462</v>
      </c>
      <c r="B4" s="205"/>
      <c r="C4" s="205"/>
      <c r="D4" s="205"/>
      <c r="E4" s="205"/>
      <c r="F4" s="205"/>
      <c r="G4" s="206"/>
    </row>
    <row r="5" spans="1:9" s="213" customFormat="1" ht="13.5" customHeight="1">
      <c r="A5" s="254" t="s">
        <v>337</v>
      </c>
      <c r="B5" s="209" t="s">
        <v>1464</v>
      </c>
      <c r="C5" s="210">
        <f ca="1">C6+C7+C8</f>
        <v>7632</v>
      </c>
      <c r="D5" s="210" t="s">
        <v>1465</v>
      </c>
      <c r="E5" s="211" t="s">
        <v>1466</v>
      </c>
      <c r="F5" s="211" t="s">
        <v>1467</v>
      </c>
      <c r="G5" s="212"/>
    </row>
    <row r="6" spans="1:9" s="213" customFormat="1" ht="13.5" customHeight="1">
      <c r="A6" s="774" t="s">
        <v>1468</v>
      </c>
      <c r="B6" s="214" t="s">
        <v>1469</v>
      </c>
      <c r="C6" s="215">
        <f ca="1">ROUND(基准地价修正!C38*'成本法-地下商业2'!D10/10000,0)</f>
        <v>7081</v>
      </c>
      <c r="D6" s="216"/>
      <c r="E6" s="217"/>
      <c r="F6" s="217"/>
      <c r="G6" s="218"/>
    </row>
    <row r="7" spans="1:9" s="213" customFormat="1" ht="13.5" customHeight="1">
      <c r="A7" s="774" t="s">
        <v>347</v>
      </c>
      <c r="B7" s="214" t="s">
        <v>1471</v>
      </c>
      <c r="C7" s="219">
        <f ca="1">ROUND(C6*F7,0)</f>
        <v>216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335</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335</v>
      </c>
      <c r="D10" s="841">
        <f ca="1">IF(B1="",'数据-汇总表'!E6,IF(INDIRECT("'数据-取费表'!c"&amp;$G$1)="住宅",INDIRECT("'数据-取费表'!s"&amp;$G$1),INDIRECT("'数据-取费表'!k"&amp;$G$1)+INDIRECT("'数据-取费表'!s"&amp;$G$1)))</f>
        <v>16756.23</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16756.23</v>
      </c>
      <c r="E19" s="210">
        <f>'数据-取费表'!B31</f>
        <v>200</v>
      </c>
      <c r="F19" s="230"/>
      <c r="G19" s="1852" t="s">
        <v>3435</v>
      </c>
    </row>
    <row r="20" spans="1:7" s="213" customFormat="1" ht="13.5" customHeight="1">
      <c r="A20" s="254" t="s">
        <v>1489</v>
      </c>
      <c r="B20" s="209" t="s">
        <v>1490</v>
      </c>
      <c r="C20" s="231">
        <f ca="1">ROUND((C5+C19)*F20,0)</f>
        <v>229</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1004</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990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14</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6.4">
      <c r="A27" s="254" t="s">
        <v>1508</v>
      </c>
      <c r="B27" s="243" t="s">
        <v>1509</v>
      </c>
      <c r="C27" s="244">
        <f ca="1">C28</f>
        <v>1572</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1572</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11484</v>
      </c>
      <c r="D31" s="229"/>
      <c r="E31" s="210"/>
      <c r="F31" s="249"/>
      <c r="G31" s="233" t="s">
        <v>1518</v>
      </c>
    </row>
    <row r="32" spans="1:7" s="207" customFormat="1" ht="16.2">
      <c r="A32" s="251" t="s">
        <v>1519</v>
      </c>
      <c r="B32" s="252"/>
      <c r="C32" s="252"/>
      <c r="D32" s="252"/>
      <c r="E32" s="252"/>
      <c r="F32" s="252"/>
      <c r="G32" s="253"/>
    </row>
    <row r="33" spans="1:7" s="213" customFormat="1" ht="13.5" customHeight="1">
      <c r="A33" s="254" t="s">
        <v>337</v>
      </c>
      <c r="B33" s="209" t="s">
        <v>1520</v>
      </c>
      <c r="C33" s="255">
        <f ca="1">SUM(C34:C38)</f>
        <v>9258</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8378</v>
      </c>
      <c r="D34" s="216"/>
      <c r="E34" s="219"/>
      <c r="F34" s="256">
        <f ca="1">IF('数据-取费表'!B24=0,1,IF(B1="",'数据-取费表'!N16,INDIRECT("'数据-取费表'!n"&amp;$G$1)))</f>
        <v>1</v>
      </c>
      <c r="G34" s="218" t="s">
        <v>1522</v>
      </c>
    </row>
    <row r="35" spans="1:7" ht="13.5" customHeight="1">
      <c r="A35" s="776" t="s">
        <v>351</v>
      </c>
      <c r="B35" s="214" t="s">
        <v>1523</v>
      </c>
      <c r="C35" s="219">
        <f ca="1">ROUND(C34*F35,0)</f>
        <v>419</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335</v>
      </c>
      <c r="D37" s="216">
        <f ca="1">D19</f>
        <v>16756.23</v>
      </c>
      <c r="E37" s="248">
        <f>'数据-取费表'!B35</f>
        <v>200</v>
      </c>
      <c r="F37" s="258"/>
      <c r="G37" s="260" t="s">
        <v>1528</v>
      </c>
    </row>
    <row r="38" spans="1:7" ht="13.5" customHeight="1">
      <c r="A38" s="776" t="s">
        <v>354</v>
      </c>
      <c r="B38" s="214" t="s">
        <v>1529</v>
      </c>
      <c r="C38" s="219">
        <f ca="1">ROUND(C34*F38,0)</f>
        <v>126</v>
      </c>
      <c r="D38" s="219"/>
      <c r="E38" s="219"/>
      <c r="F38" s="258">
        <f>'数据-取费表'!B36</f>
        <v>1.4999999999999999E-2</v>
      </c>
      <c r="G38" s="218" t="s">
        <v>1524</v>
      </c>
    </row>
    <row r="39" spans="1:7" s="213" customFormat="1" ht="13.5" customHeight="1">
      <c r="A39" s="254" t="s">
        <v>1487</v>
      </c>
      <c r="B39" s="209" t="s">
        <v>1490</v>
      </c>
      <c r="C39" s="231">
        <f ca="1">ROUND(C33*F20,0)</f>
        <v>278</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599</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582</v>
      </c>
      <c r="D42" s="237"/>
      <c r="E42" s="237"/>
      <c r="F42" s="238"/>
      <c r="G42" s="3796" t="s">
        <v>1540</v>
      </c>
    </row>
    <row r="43" spans="1:7" ht="13.5" customHeight="1">
      <c r="A43" s="776" t="s">
        <v>347</v>
      </c>
      <c r="B43" s="214" t="s">
        <v>1541</v>
      </c>
      <c r="C43" s="237">
        <f ca="1">ROUND(IF('数据-取费表'!B22&lt;=1,C39*F22*'数据-取费表'!B21/2,C39*(POWER((1+F22),'数据-取费表'!B21/2)-1)),0)</f>
        <v>17</v>
      </c>
      <c r="D43" s="237"/>
      <c r="E43" s="237"/>
      <c r="F43" s="238"/>
      <c r="G43" s="3797"/>
    </row>
    <row r="44" spans="1:7" ht="13.5" customHeight="1">
      <c r="A44" s="776" t="s">
        <v>348</v>
      </c>
      <c r="B44" s="214" t="s">
        <v>1505</v>
      </c>
      <c r="C44" s="237">
        <f ca="1">ROUND(IF('数据-取费表'!B22&lt;=1,C40*F22*'数据-取费表'!B21/2,C40*(POWER((1+F22),'数据-取费表'!B21/2)-1)),4)</f>
        <v>1.9E-3</v>
      </c>
      <c r="D44" s="237"/>
      <c r="E44" s="237"/>
      <c r="F44" s="238"/>
      <c r="G44" s="3798"/>
    </row>
    <row r="45" spans="1:7" s="213" customFormat="1" ht="13.5" customHeight="1">
      <c r="A45" s="254" t="s">
        <v>1496</v>
      </c>
      <c r="B45" s="243" t="s">
        <v>1509</v>
      </c>
      <c r="C45" s="244">
        <f ca="1">C46</f>
        <v>1907</v>
      </c>
      <c r="D45" s="234">
        <f ca="1">C47</f>
        <v>6.0000000000000001E-3</v>
      </c>
      <c r="E45" s="235" t="s">
        <v>1535</v>
      </c>
      <c r="F45" s="245">
        <f ca="1">F27</f>
        <v>0.2</v>
      </c>
      <c r="G45" s="246" t="s">
        <v>1544</v>
      </c>
    </row>
    <row r="46" spans="1:7" s="213" customFormat="1" ht="13.5" customHeight="1">
      <c r="A46" s="776" t="s">
        <v>346</v>
      </c>
      <c r="B46" s="247" t="s">
        <v>1545</v>
      </c>
      <c r="C46" s="248">
        <f ca="1">ROUND((C33+C39)*F27,0)</f>
        <v>1907</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13250</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12323</v>
      </c>
      <c r="D51" s="231"/>
      <c r="E51" s="231"/>
      <c r="F51" s="263"/>
      <c r="G51" s="233" t="s">
        <v>1556</v>
      </c>
    </row>
    <row r="52" spans="1:7" s="207" customFormat="1" ht="16.8" thickBot="1">
      <c r="A52" s="264" t="s">
        <v>1557</v>
      </c>
      <c r="B52" s="265"/>
      <c r="C52" s="266">
        <f ca="1">C31+C51</f>
        <v>23807</v>
      </c>
      <c r="D52" s="265"/>
      <c r="E52" s="265"/>
      <c r="F52" s="265"/>
      <c r="G52" s="267"/>
    </row>
    <row r="55" spans="1:7" ht="15">
      <c r="B55" s="269" t="s">
        <v>1558</v>
      </c>
      <c r="C55" s="270"/>
    </row>
    <row r="56" spans="1:7">
      <c r="B56" s="272" t="s">
        <v>798</v>
      </c>
      <c r="C56" s="274">
        <f ca="1">1-C57</f>
        <v>0.48199999999999998</v>
      </c>
    </row>
    <row r="57" spans="1:7">
      <c r="B57" s="272" t="s">
        <v>799</v>
      </c>
      <c r="C57" s="273">
        <f ca="1">ROUND(C51/C52,3)</f>
        <v>0.51800000000000002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894</v>
      </c>
    </row>
    <row r="2" spans="1:1">
      <c r="A2" s="1474"/>
    </row>
    <row r="3" spans="1:1" ht="17.399999999999999">
      <c r="A3" s="1475" t="str">
        <f>项目基本情况!B5&amp;"："</f>
        <v>：</v>
      </c>
    </row>
    <row r="4" spans="1:1" ht="17.399999999999999">
      <c r="A4" s="1476" t="str">
        <f>"受贵公司委托，我公司对"&amp;项目基本情况!S1&amp;"进行了预评估。"</f>
        <v>受贵公司委托，我公司对北京市房地产抵押价值进行了预评估。</v>
      </c>
    </row>
    <row r="5" spans="1:1" ht="17.399999999999999">
      <c r="A5" s="1477" t="s">
        <v>895</v>
      </c>
    </row>
    <row r="6" spans="1:1" ht="17.399999999999999">
      <c r="A6" s="1478" t="s">
        <v>896</v>
      </c>
    </row>
    <row r="7" spans="1:1" ht="52.2">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估价对象为北京市房地产，为所有。根据《国有土地使用证》[]，估价对象（分摊）出让国有建设用地使用权面积为12540.52平方米，建筑面积为99232.33平方米。</v>
      </c>
    </row>
    <row r="8" spans="1:1" ht="54.6">
      <c r="A8" s="1479" t="s">
        <v>897</v>
      </c>
    </row>
    <row r="9" spans="1:1" ht="17.399999999999999">
      <c r="A9" s="1478" t="s">
        <v>898</v>
      </c>
    </row>
    <row r="10" spans="1:1" ht="52.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估价对象为北京市房地产,属开发建设的，该项目尚在开发建设中。根据《国有土地使用证》[]，估价对象（分摊）出让国有建设用地使用权面积为12540.52平方米，规划建筑面积为99232.33平方米。</v>
      </c>
    </row>
    <row r="11" spans="1:1" ht="72">
      <c r="A11" s="1479" t="s">
        <v>899</v>
      </c>
    </row>
    <row r="12" spans="1:1" ht="17.399999999999999">
      <c r="A12" s="1477" t="s">
        <v>900</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1" t="s">
        <v>901</v>
      </c>
    </row>
    <row r="15" spans="1:1" ht="17.399999999999999">
      <c r="A15" s="1482" t="str">
        <f>TEXT(项目基本情况!D3,"yyyy年m月d日;;")&amp;IF(项目基本情况!D3=项目基本情况!B3,"（评估专业人员实地查勘之日）","")</f>
        <v>2023年6月9日</v>
      </c>
    </row>
    <row r="16" spans="1:1" ht="17.399999999999999">
      <c r="A16" s="1481" t="s">
        <v>902</v>
      </c>
    </row>
    <row r="17" spans="1:1" ht="69.599999999999994">
      <c r="A17" s="1476" t="s">
        <v>903</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1" t="s">
        <v>892</v>
      </c>
    </row>
    <row r="24" spans="1:1" ht="17.399999999999999">
      <c r="A24" s="1483" t="str">
        <f>"本次评估采用的主估价方法为"&amp;结果表!K4&amp;"和"&amp;结果表!L4&amp;"。"</f>
        <v>本次评估采用的主估价方法为成本法和收益法。</v>
      </c>
    </row>
    <row r="25" spans="1:1" ht="17.399999999999999">
      <c r="A25" s="1483"/>
    </row>
    <row r="26" spans="1:1" ht="17.399999999999999">
      <c r="A26" s="1484" t="s">
        <v>893</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5" zoomScale="70" zoomScaleNormal="70" zoomScaleSheetLayoutView="70" workbookViewId="0">
      <selection activeCell="I40" sqref="I40"/>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4" customWidth="1"/>
    <col min="12" max="12" width="16.33203125" style="257" customWidth="1"/>
    <col min="13" max="13" width="13" style="257"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7"/>
  </cols>
  <sheetData>
    <row r="1" spans="1:37" s="292" customFormat="1" ht="21.6">
      <c r="A1" s="1371" t="s">
        <v>873</v>
      </c>
      <c r="B1" s="711"/>
      <c r="C1" s="1375" t="s">
        <v>3403</v>
      </c>
      <c r="D1" s="1358" t="s">
        <v>43</v>
      </c>
      <c r="E1" s="1359" t="s">
        <v>674</v>
      </c>
      <c r="F1" s="1058">
        <f ca="1">J53</f>
        <v>27.58</v>
      </c>
      <c r="G1" s="1374">
        <f>MATCH(C1,'数据-取费表'!A6:A16,0)+5</f>
        <v>9</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30391</v>
      </c>
      <c r="C2" s="1383" t="s">
        <v>801</v>
      </c>
      <c r="D2" s="1383"/>
      <c r="E2" s="1384"/>
      <c r="F2" s="1385"/>
      <c r="G2" s="2702"/>
      <c r="H2" s="2691"/>
      <c r="I2" s="2691"/>
      <c r="J2" s="2691"/>
      <c r="K2" s="2692"/>
      <c r="L2" s="2691"/>
      <c r="M2" s="2691"/>
    </row>
    <row r="3" spans="1:37" ht="18" customHeight="1" thickBot="1">
      <c r="A3" s="1386" t="s">
        <v>802</v>
      </c>
      <c r="B3" s="1387">
        <f ca="1">IF(ISERROR(B2*10000/F43),0,ROUND(B2*10000/F43,0))</f>
        <v>18137</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1984</v>
      </c>
      <c r="D5" s="1360" t="s">
        <v>689</v>
      </c>
      <c r="E5" s="1067"/>
      <c r="F5" s="1068"/>
      <c r="G5" s="1380"/>
      <c r="H5" s="298">
        <v>1</v>
      </c>
      <c r="I5" s="299" t="s">
        <v>688</v>
      </c>
      <c r="J5" s="1066">
        <f ca="1">J6+J10+J12</f>
        <v>0</v>
      </c>
      <c r="K5" s="1360" t="s">
        <v>689</v>
      </c>
      <c r="L5" s="1067"/>
      <c r="M5" s="1068"/>
    </row>
    <row r="6" spans="1:37" ht="18" customHeight="1">
      <c r="A6" s="1065" t="s">
        <v>398</v>
      </c>
      <c r="B6" s="3801" t="s">
        <v>690</v>
      </c>
      <c r="C6" s="1070">
        <f ca="1">ROUND(F6*F8*F7*(1-F9)/10000,0)</f>
        <v>1982</v>
      </c>
      <c r="D6" s="154" t="s">
        <v>2105</v>
      </c>
      <c r="E6" s="301" t="s">
        <v>692</v>
      </c>
      <c r="F6" s="302">
        <f ca="1">INDIRECT("'数据-取费表'!u"&amp;$G$1)</f>
        <v>3.6</v>
      </c>
      <c r="G6" s="1380"/>
      <c r="H6" s="1065" t="s">
        <v>398</v>
      </c>
      <c r="I6" s="3801" t="s">
        <v>690</v>
      </c>
      <c r="J6" s="300">
        <f ca="1">ROUND(M6*M8*M7*(1-M9)/10000,0)</f>
        <v>0</v>
      </c>
      <c r="K6" s="154" t="s">
        <v>2104</v>
      </c>
      <c r="L6" s="301" t="s">
        <v>692</v>
      </c>
      <c r="M6" s="302">
        <f ca="1">INDIRECT("'数据-取费表'!z"&amp;$G$1)</f>
        <v>0</v>
      </c>
    </row>
    <row r="7" spans="1:37" ht="18" customHeight="1">
      <c r="A7" s="1069"/>
      <c r="B7" s="3802"/>
      <c r="C7" s="1071"/>
      <c r="D7" s="306"/>
      <c r="E7" s="3467" t="s">
        <v>693</v>
      </c>
      <c r="F7" s="302">
        <f ca="1">IF(INDIRECT("'数据-取费表'!ah"&amp;$G$1)="",INDIRECT("'数据-取费表'!k"&amp;$G$1),INDIRECT("'数据-取费表'!ah"&amp;$G$1))</f>
        <v>16756.23</v>
      </c>
      <c r="G7" s="1380"/>
      <c r="H7" s="303"/>
      <c r="I7" s="3802"/>
      <c r="J7" s="305"/>
      <c r="K7" s="306"/>
      <c r="L7" s="301" t="s">
        <v>693</v>
      </c>
      <c r="M7" s="302">
        <f ca="1">F7</f>
        <v>16756.23</v>
      </c>
    </row>
    <row r="8" spans="1:37" ht="18" customHeight="1">
      <c r="A8" s="303"/>
      <c r="B8" s="3802"/>
      <c r="C8" s="305"/>
      <c r="D8" s="306"/>
      <c r="E8" s="301" t="s">
        <v>694</v>
      </c>
      <c r="F8" s="302">
        <f ca="1">INDIRECT("'数据-取费表'!ai"&amp;$G$1)</f>
        <v>365</v>
      </c>
      <c r="G8" s="1380"/>
      <c r="H8" s="303"/>
      <c r="I8" s="3802"/>
      <c r="J8" s="305"/>
      <c r="K8" s="306"/>
      <c r="L8" s="301" t="s">
        <v>694</v>
      </c>
      <c r="M8" s="302">
        <f ca="1">INDIRECT("'数据-取费表'!ai"&amp;$G$1)</f>
        <v>365</v>
      </c>
    </row>
    <row r="9" spans="1:37" ht="18" customHeight="1">
      <c r="A9" s="303"/>
      <c r="B9" s="3803"/>
      <c r="C9" s="305"/>
      <c r="D9" s="306"/>
      <c r="E9" s="301" t="s">
        <v>695</v>
      </c>
      <c r="F9" s="311">
        <f ca="1">INDIRECT("'数据-取费表'!w"&amp;$G$1)</f>
        <v>0.1</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2</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12323</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8378</v>
      </c>
      <c r="D14" s="3456" t="s">
        <v>704</v>
      </c>
      <c r="E14" s="3449"/>
      <c r="F14" s="318"/>
      <c r="G14" s="1380"/>
      <c r="H14" s="978" t="s">
        <v>398</v>
      </c>
      <c r="I14" s="301" t="s">
        <v>705</v>
      </c>
      <c r="J14" s="21">
        <f ca="1">C29</f>
        <v>13250</v>
      </c>
      <c r="K14" s="3465"/>
      <c r="L14" s="803"/>
      <c r="M14" s="804"/>
    </row>
    <row r="15" spans="1:37" s="1393" customFormat="1" ht="18" customHeight="1" thickBot="1">
      <c r="A15" s="978" t="s">
        <v>399</v>
      </c>
      <c r="B15" s="301" t="s">
        <v>706</v>
      </c>
      <c r="C15" s="21">
        <f ca="1">ROUND(C14*F15,0)</f>
        <v>419</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93</v>
      </c>
      <c r="K16" s="1083" t="s">
        <v>711</v>
      </c>
      <c r="L16" s="3459"/>
      <c r="M16" s="1068"/>
    </row>
    <row r="17" spans="1:37" s="1393" customFormat="1" ht="18" customHeight="1">
      <c r="A17" s="978" t="s">
        <v>677</v>
      </c>
      <c r="B17" s="301" t="s">
        <v>712</v>
      </c>
      <c r="C17" s="21">
        <f ca="1">ROUND(F17*(F43+INDIRECT("'数据-取费表'!S"&amp;$G$1))/10000,0)</f>
        <v>335</v>
      </c>
      <c r="D17" s="301" t="s">
        <v>713</v>
      </c>
      <c r="E17" s="301" t="s">
        <v>714</v>
      </c>
      <c r="F17" s="23">
        <f>'数据-取费表'!B35</f>
        <v>200</v>
      </c>
      <c r="G17" s="1392"/>
      <c r="H17" s="978" t="s">
        <v>398</v>
      </c>
      <c r="I17" s="301" t="s">
        <v>715</v>
      </c>
      <c r="J17" s="2312">
        <f ca="1">ROUND(IF(AND(项目基本情况!B11="自然人",项目基本情况!B10="北京市"),J6*M17/(1+'数据-取费表'!C42),J18+J19+J20),2)</f>
        <v>0.64</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126</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9258</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278</v>
      </c>
      <c r="D20" s="2424" t="s">
        <v>725</v>
      </c>
      <c r="E20" s="301" t="s">
        <v>708</v>
      </c>
      <c r="F20" s="321">
        <f>'数据-取费表'!B37</f>
        <v>0.03</v>
      </c>
      <c r="G20" s="1392"/>
      <c r="H20" s="978" t="s">
        <v>676</v>
      </c>
      <c r="I20" s="154" t="s">
        <v>726</v>
      </c>
      <c r="J20" s="22">
        <f ca="1">ROUND(M20*M21/10000,2)</f>
        <v>0.64</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2117.5700000000002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92.75</v>
      </c>
      <c r="K22" s="3454" t="s">
        <v>735</v>
      </c>
      <c r="L22" s="301" t="s">
        <v>708</v>
      </c>
      <c r="M22" s="327">
        <f ca="1">INDIRECT("'数据-取费表'!Ak"&amp;$G$1)</f>
        <v>7.0000000000000001E-3</v>
      </c>
    </row>
    <row r="23" spans="1:37" s="1393" customFormat="1" ht="18" customHeight="1">
      <c r="A23" s="978" t="s">
        <v>397</v>
      </c>
      <c r="B23" s="301" t="s">
        <v>736</v>
      </c>
      <c r="C23" s="21">
        <f ca="1">IF('数据-取费表'!B22&lt;=1,ROUND(C19*F24*F23/2,0)+ROUND(C20*F24*F23/2,0),ROUND(C19*(POWER((1+F24),F23/2)-1),0)+ROUND(C20*(POWER((1+F24),F23/2)-1),0))</f>
        <v>599</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-93</v>
      </c>
      <c r="K25" s="1091" t="s">
        <v>749</v>
      </c>
      <c r="L25" s="1092"/>
      <c r="M25" s="1093"/>
    </row>
    <row r="26" spans="1:37">
      <c r="A26" s="978" t="s">
        <v>397</v>
      </c>
      <c r="B26" s="301" t="s">
        <v>750</v>
      </c>
      <c r="C26" s="21">
        <f ca="1">ROUND((C19+C20)*F26,0)</f>
        <v>1907</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13250</v>
      </c>
      <c r="D29" s="1088"/>
      <c r="E29" s="1086"/>
      <c r="F29" s="1089"/>
      <c r="G29" s="1392"/>
      <c r="H29" s="333" t="s">
        <v>396</v>
      </c>
      <c r="I29" s="334" t="s">
        <v>764</v>
      </c>
      <c r="J29" s="335">
        <f ca="1">ROUND(J26/(1+F40)^F41,0)</f>
        <v>0</v>
      </c>
      <c r="K29" s="336" t="s">
        <v>765</v>
      </c>
      <c r="L29" s="337"/>
      <c r="M29" s="338">
        <f ca="1">INDIRECT("'数据-取费表'!k"&amp;$G$1)</f>
        <v>16756.23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458</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332.86</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105.71</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226.51</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0.64</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2117.5700000000002</v>
      </c>
      <c r="G35" s="1380"/>
      <c r="H35" s="2693"/>
      <c r="I35" s="1394"/>
      <c r="J35" s="1395"/>
      <c r="K35" s="2697"/>
      <c r="L35" s="2696"/>
      <c r="M35" s="2696"/>
    </row>
    <row r="36" spans="1:18" ht="18" customHeight="1">
      <c r="A36" s="1098" t="s">
        <v>402</v>
      </c>
      <c r="B36" s="301" t="s">
        <v>734</v>
      </c>
      <c r="C36" s="21">
        <f ca="1">ROUND(C29*F36,2)</f>
        <v>92.75</v>
      </c>
      <c r="D36" s="3454" t="s">
        <v>767</v>
      </c>
      <c r="E36" s="301" t="s">
        <v>708</v>
      </c>
      <c r="F36" s="327">
        <f ca="1">INDIRECT("'数据-取费表'!Ak"&amp;$G$1)</f>
        <v>7.0000000000000001E-3</v>
      </c>
      <c r="G36" s="1380"/>
      <c r="H36" s="2696"/>
      <c r="I36" s="1394"/>
      <c r="J36" s="1395"/>
      <c r="K36" s="2540"/>
      <c r="L36" s="2696"/>
      <c r="M36" s="2696"/>
    </row>
    <row r="37" spans="1:18" ht="18" customHeight="1">
      <c r="A37" s="978" t="s">
        <v>437</v>
      </c>
      <c r="B37" s="301" t="s">
        <v>738</v>
      </c>
      <c r="C37" s="21">
        <f ca="1">ROUND(C13*F37,2)</f>
        <v>12.32</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19.84</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1526</v>
      </c>
      <c r="D39" s="1091" t="s">
        <v>769</v>
      </c>
      <c r="E39" s="1092"/>
      <c r="F39" s="1093"/>
      <c r="G39" s="1380"/>
      <c r="H39" s="2696"/>
      <c r="I39" s="1394">
        <f ca="1">C39/C5</f>
        <v>0.76915322580645162</v>
      </c>
      <c r="J39" s="1395"/>
      <c r="K39" s="2700"/>
      <c r="L39" s="2696"/>
      <c r="M39" s="2696"/>
    </row>
    <row r="40" spans="1:18" ht="18" customHeight="1">
      <c r="A40" s="298" t="s">
        <v>395</v>
      </c>
      <c r="B40" s="299" t="s">
        <v>770</v>
      </c>
      <c r="C40" s="300">
        <f ca="1">ROUND(C39*(1-((1+F42)/(1+F40))^F41)/(F40-F42),0)</f>
        <v>29536</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17627</v>
      </c>
      <c r="D43" s="336" t="s">
        <v>773</v>
      </c>
      <c r="E43" s="337" t="s">
        <v>774</v>
      </c>
      <c r="F43" s="338">
        <f ca="1">INDIRECT("'数据-取费表'!k"&amp;$G$1)</f>
        <v>16756.23</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8" thickBot="1">
      <c r="A46" s="1400" t="s">
        <v>805</v>
      </c>
      <c r="C46" s="1401">
        <f ca="1">C68-C40</f>
        <v>-31023</v>
      </c>
      <c r="D46" s="1402" t="str">
        <f>C2</f>
        <v>万元</v>
      </c>
      <c r="E46" s="1396"/>
      <c r="F46" s="1396"/>
      <c r="I46" s="1403" t="s">
        <v>806</v>
      </c>
      <c r="J46" s="1404"/>
      <c r="K46" s="1405"/>
      <c r="L46" s="1406">
        <f ca="1">IF(M47="住宅",0,IF(L48&gt;J51,L60,J60))</f>
        <v>855</v>
      </c>
      <c r="O46" s="1407" t="s">
        <v>807</v>
      </c>
      <c r="P46" s="1408" t="s">
        <v>808</v>
      </c>
      <c r="Q46" s="1409" t="s">
        <v>809</v>
      </c>
      <c r="R46" s="1409" t="s">
        <v>810</v>
      </c>
    </row>
    <row r="47" spans="1:18" s="1380" customFormat="1" ht="13.8"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29536</v>
      </c>
      <c r="R47" s="1416" t="s">
        <v>814</v>
      </c>
    </row>
    <row r="48" spans="1:18" s="1380" customFormat="1" ht="40.200000000000003" thickBot="1">
      <c r="A48" s="1106" t="s">
        <v>438</v>
      </c>
      <c r="B48" s="299" t="s">
        <v>688</v>
      </c>
      <c r="C48" s="3468">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855</v>
      </c>
      <c r="R48" s="1416" t="s">
        <v>818</v>
      </c>
    </row>
    <row r="49" spans="1:18" s="1380" customFormat="1" ht="13.8"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13250</v>
      </c>
      <c r="R49" s="1416" t="s">
        <v>814</v>
      </c>
    </row>
    <row r="50" spans="1:18" s="1380" customFormat="1" ht="13.8" thickBot="1">
      <c r="A50" s="972"/>
      <c r="B50" s="975"/>
      <c r="C50" s="1114"/>
      <c r="D50" s="949"/>
      <c r="E50" s="1052" t="s">
        <v>693</v>
      </c>
      <c r="F50" s="1053">
        <f ca="1">F7</f>
        <v>16756.23</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8"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10396</v>
      </c>
      <c r="M51" s="1432"/>
      <c r="O51" s="1424" t="s">
        <v>407</v>
      </c>
      <c r="P51" s="1415" t="s">
        <v>827</v>
      </c>
      <c r="Q51" s="1427">
        <f>J52</f>
        <v>7.4999999999999997E-2</v>
      </c>
      <c r="R51" s="1416"/>
    </row>
    <row r="52" spans="1:18" s="1380" customFormat="1" ht="13.8"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36.6"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799" t="s">
        <v>833</v>
      </c>
      <c r="L53" s="3800"/>
      <c r="O53" s="1414" t="s">
        <v>409</v>
      </c>
      <c r="P53" s="1415" t="s">
        <v>834</v>
      </c>
      <c r="Q53" s="1416">
        <f ca="1">Q47+Q48</f>
        <v>30391</v>
      </c>
      <c r="R53" s="1416" t="s">
        <v>410</v>
      </c>
    </row>
    <row r="54" spans="1:18" s="1380" customFormat="1" ht="24.6"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8" thickBot="1">
      <c r="A55" s="1079" t="s">
        <v>437</v>
      </c>
      <c r="B55" s="1365" t="s">
        <v>699</v>
      </c>
      <c r="C55" s="1080"/>
      <c r="D55" s="1362"/>
      <c r="E55" s="3461"/>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37.200000000000003" thickTop="1" thickBot="1">
      <c r="A56" s="953">
        <v>2</v>
      </c>
      <c r="B56" s="954" t="s">
        <v>700</v>
      </c>
      <c r="C56" s="231">
        <f ca="1">C13</f>
        <v>12323</v>
      </c>
      <c r="D56" s="1443"/>
      <c r="E56" s="1444"/>
      <c r="F56" s="1436"/>
      <c r="I56" s="1445" t="s">
        <v>838</v>
      </c>
      <c r="J56" s="1446" t="s">
        <v>3431</v>
      </c>
      <c r="K56" s="1417" t="s">
        <v>839</v>
      </c>
      <c r="L56" s="1420" t="str">
        <f ca="1">IF(L48&lt;J51,"——",L48-J53)</f>
        <v>——</v>
      </c>
      <c r="O56" s="1414" t="s">
        <v>403</v>
      </c>
      <c r="P56" s="1415" t="s">
        <v>813</v>
      </c>
      <c r="Q56" s="1416">
        <f ca="1">C40+J29</f>
        <v>29536</v>
      </c>
      <c r="R56" s="1416" t="s">
        <v>814</v>
      </c>
    </row>
    <row r="57" spans="1:18" s="1380" customFormat="1" ht="24.6" thickBot="1">
      <c r="A57" s="1447"/>
      <c r="B57" s="946" t="s">
        <v>763</v>
      </c>
      <c r="C57" s="237">
        <f ca="1">C29</f>
        <v>13250</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6" thickBot="1">
      <c r="A58" s="314" t="s">
        <v>393</v>
      </c>
      <c r="B58" s="954" t="s">
        <v>710</v>
      </c>
      <c r="C58" s="315">
        <f ca="1">ROUND(C59+C64+C65+C66,0)</f>
        <v>106</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6"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6281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2"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855</v>
      </c>
      <c r="K60" s="1456" t="s">
        <v>850</v>
      </c>
      <c r="L60" s="1455">
        <f ca="1">IF(OR(M47="住宅",L48&lt;J51),0,ROUND(L57*(L58/L59-1),0))</f>
        <v>0</v>
      </c>
      <c r="O60" s="1424" t="s">
        <v>407</v>
      </c>
      <c r="P60" s="1415" t="s">
        <v>851</v>
      </c>
      <c r="Q60" s="1416" t="e">
        <f ca="1">L58</f>
        <v>#DIV/0!</v>
      </c>
      <c r="R60" s="1416" t="s">
        <v>852</v>
      </c>
    </row>
    <row r="61" spans="1:18" s="1380" customFormat="1" ht="13.8"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8" thickBot="1">
      <c r="A62" s="978" t="s">
        <v>780</v>
      </c>
      <c r="B62" s="945" t="s">
        <v>781</v>
      </c>
      <c r="C62" s="22">
        <f ca="1">IF(项目基本情况!B11="自然人","——",ROUND(F62*F63/10000,2))</f>
        <v>0.64</v>
      </c>
      <c r="D62" s="961" t="s">
        <v>782</v>
      </c>
      <c r="E62" s="946" t="s">
        <v>783</v>
      </c>
      <c r="F62" s="324">
        <f t="shared" si="0"/>
        <v>3</v>
      </c>
      <c r="I62" s="1458" t="s">
        <v>854</v>
      </c>
      <c r="J62" s="1459" t="s">
        <v>855</v>
      </c>
      <c r="K62" s="1459" t="s">
        <v>856</v>
      </c>
      <c r="L62" s="1459" t="s">
        <v>857</v>
      </c>
      <c r="M62" s="1460" t="s">
        <v>858</v>
      </c>
      <c r="O62" s="1414" t="s">
        <v>409</v>
      </c>
      <c r="P62" s="1415" t="s">
        <v>859</v>
      </c>
      <c r="Q62" s="1416">
        <f ca="1">Q56+Q57</f>
        <v>29536</v>
      </c>
      <c r="R62" s="1416" t="s">
        <v>410</v>
      </c>
    </row>
    <row r="63" spans="1:18" s="1380" customFormat="1" ht="13.8" thickBot="1">
      <c r="A63" s="325"/>
      <c r="B63" s="952"/>
      <c r="C63" s="26"/>
      <c r="D63" s="962"/>
      <c r="E63" s="946" t="s">
        <v>784</v>
      </c>
      <c r="F63" s="302">
        <f t="shared" ca="1" si="0"/>
        <v>2117.5700000000002</v>
      </c>
      <c r="I63" s="1458" t="s">
        <v>860</v>
      </c>
      <c r="J63" s="1459">
        <v>70</v>
      </c>
      <c r="K63" s="1459">
        <v>50</v>
      </c>
      <c r="L63" s="1459">
        <v>80</v>
      </c>
      <c r="M63" s="1461">
        <v>0.02</v>
      </c>
      <c r="O63" s="1399" t="s">
        <v>861</v>
      </c>
      <c r="P63" s="1377"/>
      <c r="Q63" s="1377"/>
      <c r="R63" s="1377"/>
    </row>
    <row r="64" spans="1:18" s="1380" customFormat="1" ht="13.8" thickBot="1">
      <c r="A64" s="978" t="s">
        <v>785</v>
      </c>
      <c r="B64" s="946" t="s">
        <v>734</v>
      </c>
      <c r="C64" s="21">
        <f ca="1">ROUND(C57*F64,2)</f>
        <v>92.75</v>
      </c>
      <c r="D64" s="960" t="s">
        <v>787</v>
      </c>
      <c r="E64" s="946" t="s">
        <v>779</v>
      </c>
      <c r="F64" s="327">
        <f t="shared" ca="1" si="0"/>
        <v>7.0000000000000001E-3</v>
      </c>
      <c r="I64" s="1458" t="s">
        <v>862</v>
      </c>
      <c r="J64" s="1459">
        <v>50</v>
      </c>
      <c r="K64" s="1459">
        <v>35</v>
      </c>
      <c r="L64" s="1459">
        <v>60</v>
      </c>
      <c r="M64" s="1460">
        <v>0</v>
      </c>
      <c r="O64" s="1407" t="s">
        <v>807</v>
      </c>
      <c r="P64" s="1408" t="s">
        <v>808</v>
      </c>
      <c r="Q64" s="1409" t="s">
        <v>809</v>
      </c>
      <c r="R64" s="1409" t="s">
        <v>810</v>
      </c>
    </row>
    <row r="65" spans="1:18" s="1380" customFormat="1" ht="13.8" thickBot="1">
      <c r="A65" s="978" t="s">
        <v>788</v>
      </c>
      <c r="B65" s="946" t="s">
        <v>738</v>
      </c>
      <c r="C65" s="21">
        <f ca="1">ROUND(C56*F65,2)</f>
        <v>12.32</v>
      </c>
      <c r="D65" s="960" t="s">
        <v>739</v>
      </c>
      <c r="E65" s="946" t="s">
        <v>740</v>
      </c>
      <c r="F65" s="329">
        <f t="shared" ca="1" si="0"/>
        <v>1E-3</v>
      </c>
      <c r="I65" s="1458" t="s">
        <v>863</v>
      </c>
      <c r="J65" s="1459">
        <v>40</v>
      </c>
      <c r="K65" s="1459">
        <v>30</v>
      </c>
      <c r="L65" s="1459">
        <v>50</v>
      </c>
      <c r="M65" s="1461">
        <v>0.02</v>
      </c>
      <c r="O65" s="1414" t="s">
        <v>403</v>
      </c>
      <c r="P65" s="1415" t="s">
        <v>864</v>
      </c>
      <c r="Q65" s="1416">
        <f ca="1">C40+J29</f>
        <v>29536</v>
      </c>
      <c r="R65" s="1416" t="s">
        <v>814</v>
      </c>
    </row>
    <row r="66" spans="1:18" s="1380" customFormat="1" ht="16.2"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24.6" thickBot="1">
      <c r="A67" s="953" t="s">
        <v>394</v>
      </c>
      <c r="B67" s="963" t="s">
        <v>748</v>
      </c>
      <c r="C67" s="315">
        <f ca="1">C48-C58</f>
        <v>-106</v>
      </c>
      <c r="D67" s="959" t="s">
        <v>749</v>
      </c>
      <c r="E67" s="964"/>
      <c r="F67" s="965"/>
      <c r="O67" s="1424" t="s">
        <v>405</v>
      </c>
      <c r="P67" s="1415" t="s">
        <v>846</v>
      </c>
      <c r="Q67" s="1462">
        <f ca="1">L51</f>
        <v>10396</v>
      </c>
      <c r="R67" s="1416" t="s">
        <v>866</v>
      </c>
    </row>
    <row r="68" spans="1:18" s="1380" customFormat="1" ht="16.2" thickBot="1">
      <c r="A68" s="943" t="s">
        <v>395</v>
      </c>
      <c r="B68" s="944" t="s">
        <v>770</v>
      </c>
      <c r="C68" s="300">
        <f ca="1">ROUND(C67*(1-((1+F70)/(1+F68))^F69)/(F68-F70),0)</f>
        <v>-1487</v>
      </c>
      <c r="D68" s="961" t="s">
        <v>754</v>
      </c>
      <c r="E68" s="946" t="s">
        <v>755</v>
      </c>
      <c r="F68" s="311">
        <f ca="1">F40</f>
        <v>5.5E-2</v>
      </c>
      <c r="O68" s="1424" t="s">
        <v>406</v>
      </c>
      <c r="P68" s="1463" t="s">
        <v>867</v>
      </c>
      <c r="Q68" s="1416">
        <f ca="1">ROUND(Q69-Q70*Q71,0)</f>
        <v>602</v>
      </c>
      <c r="R68" s="1416" t="s">
        <v>414</v>
      </c>
    </row>
    <row r="69" spans="1:18" s="1380" customFormat="1" ht="13.8" thickBot="1">
      <c r="A69" s="947"/>
      <c r="B69" s="948"/>
      <c r="C69" s="305"/>
      <c r="D69" s="966" t="s">
        <v>758</v>
      </c>
      <c r="E69" s="946" t="s">
        <v>759</v>
      </c>
      <c r="F69" s="332">
        <f ca="1">F41</f>
        <v>27.58</v>
      </c>
      <c r="O69" s="1424" t="s">
        <v>411</v>
      </c>
      <c r="P69" s="1463" t="s">
        <v>868</v>
      </c>
      <c r="Q69" s="1416">
        <f ca="1">C39</f>
        <v>1526</v>
      </c>
      <c r="R69" s="1416" t="s">
        <v>814</v>
      </c>
    </row>
    <row r="70" spans="1:18" s="1380" customFormat="1" ht="13.8" thickBot="1">
      <c r="A70" s="950"/>
      <c r="B70" s="951"/>
      <c r="C70" s="309"/>
      <c r="D70" s="962"/>
      <c r="E70" s="946" t="s">
        <v>762</v>
      </c>
      <c r="F70" s="1050"/>
      <c r="O70" s="1424" t="s">
        <v>412</v>
      </c>
      <c r="P70" s="1463" t="s">
        <v>869</v>
      </c>
      <c r="Q70" s="1416">
        <f ca="1">C13</f>
        <v>12323</v>
      </c>
      <c r="R70" s="1416" t="s">
        <v>814</v>
      </c>
    </row>
    <row r="71" spans="1:18" s="1380" customFormat="1" ht="13.8" thickBot="1">
      <c r="A71" s="967" t="s">
        <v>396</v>
      </c>
      <c r="B71" s="968" t="s">
        <v>772</v>
      </c>
      <c r="C71" s="335">
        <f ca="1">ROUND(C68*10000/F71,0)</f>
        <v>-887</v>
      </c>
      <c r="D71" s="969" t="s">
        <v>773</v>
      </c>
      <c r="E71" s="970" t="s">
        <v>774</v>
      </c>
      <c r="F71" s="338">
        <f ca="1">F43</f>
        <v>16756.23</v>
      </c>
      <c r="O71" s="1424" t="s">
        <v>413</v>
      </c>
      <c r="P71" s="1463" t="s">
        <v>870</v>
      </c>
      <c r="Q71" s="1427">
        <f ca="1">C76</f>
        <v>7.4999999999999997E-2</v>
      </c>
      <c r="R71" s="1416"/>
    </row>
    <row r="72" spans="1:18" s="1380" customFormat="1" ht="13.8" thickBot="1">
      <c r="B72" s="724"/>
      <c r="C72" s="724"/>
      <c r="O72" s="1424" t="s">
        <v>407</v>
      </c>
      <c r="P72" s="1415" t="s">
        <v>848</v>
      </c>
      <c r="Q72" s="1427">
        <f>L52</f>
        <v>0</v>
      </c>
      <c r="R72" s="1416"/>
    </row>
    <row r="73" spans="1:18" ht="16.2" thickBot="1">
      <c r="A73" s="1380"/>
      <c r="B73" s="724"/>
      <c r="C73" s="724"/>
      <c r="D73" s="1380"/>
      <c r="E73" s="1380"/>
      <c r="F73" s="1380"/>
      <c r="O73" s="1424" t="s">
        <v>408</v>
      </c>
      <c r="P73" s="1415" t="s">
        <v>851</v>
      </c>
      <c r="Q73" s="1416" t="e">
        <f ca="1">L58</f>
        <v>#DIV/0!</v>
      </c>
      <c r="R73" s="1416" t="s">
        <v>852</v>
      </c>
    </row>
    <row r="74" spans="1:18" ht="13.8"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8" thickBot="1">
      <c r="A75" s="1380"/>
      <c r="B75" s="339" t="s">
        <v>791</v>
      </c>
      <c r="C75" s="340">
        <f ca="1">ROUND(C13*C76,0)</f>
        <v>924</v>
      </c>
      <c r="D75" s="1380"/>
      <c r="E75" s="1380"/>
      <c r="F75" s="1380"/>
      <c r="K75" s="1398"/>
      <c r="L75" s="1380"/>
      <c r="O75" s="1414" t="s">
        <v>409</v>
      </c>
      <c r="P75" s="1415" t="s">
        <v>834</v>
      </c>
      <c r="Q75" s="1416">
        <f ca="1">Q65+Q66</f>
        <v>29536</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0.39400000000000002</v>
      </c>
    </row>
    <row r="80" spans="1:18">
      <c r="B80" s="339" t="s">
        <v>796</v>
      </c>
      <c r="C80" s="273">
        <f ca="1">ROUND(C75/C39,3)</f>
        <v>0.60599999999999998</v>
      </c>
    </row>
    <row r="81" spans="2:3">
      <c r="B81" s="269" t="s">
        <v>797</v>
      </c>
      <c r="C81" s="237"/>
    </row>
    <row r="82" spans="2:3">
      <c r="B82" s="272" t="s">
        <v>798</v>
      </c>
      <c r="C82" s="274">
        <f ca="1">1-C83</f>
        <v>0.58299999999999996</v>
      </c>
    </row>
    <row r="83" spans="2:3">
      <c r="B83" s="272" t="s">
        <v>799</v>
      </c>
      <c r="C83" s="273">
        <f ca="1">ROUND(C13/C40,3)</f>
        <v>0.41699999999999998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A128" sqref="A128:I128"/>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1258</v>
      </c>
      <c r="B1" s="1743"/>
      <c r="C1" s="1744" t="s">
        <v>3401</v>
      </c>
      <c r="D1" s="1743"/>
      <c r="E1" s="1743"/>
      <c r="F1" s="1745" t="s">
        <v>1259</v>
      </c>
      <c r="G1" s="1557"/>
      <c r="H1" s="1746" t="str">
        <f>IF(G1="现房","——","估价对象范围")</f>
        <v>估价对象范围</v>
      </c>
      <c r="I1" s="1747"/>
    </row>
    <row r="2" spans="1:12" ht="21.75" customHeight="1" thickBot="1">
      <c r="A2" s="3750" t="str">
        <f>项目基本情况!S2</f>
        <v>北京市房地产</v>
      </c>
      <c r="B2" s="3751"/>
      <c r="C2" s="3751"/>
      <c r="D2" s="3751"/>
      <c r="E2" s="3751"/>
      <c r="F2" s="3751"/>
      <c r="G2" s="3751"/>
      <c r="H2" s="3751"/>
      <c r="I2" s="3752"/>
    </row>
    <row r="3" spans="1:12" ht="13.2">
      <c r="A3" s="3754" t="s">
        <v>1260</v>
      </c>
      <c r="B3" s="3755"/>
      <c r="C3" s="3755"/>
      <c r="D3" s="3755"/>
      <c r="E3" s="3755"/>
      <c r="F3" s="3755"/>
      <c r="G3" s="3755"/>
      <c r="H3" s="3755"/>
      <c r="I3" s="3755"/>
    </row>
    <row r="4" spans="1:12" ht="14.4">
      <c r="A4" s="1750" t="s">
        <v>1261</v>
      </c>
      <c r="B4" s="1751" t="s">
        <v>1262</v>
      </c>
      <c r="C4" s="1752" t="s">
        <v>3420</v>
      </c>
      <c r="D4" s="1752" t="s">
        <v>3426</v>
      </c>
      <c r="E4" s="3759" t="s">
        <v>1263</v>
      </c>
      <c r="F4" s="3760"/>
      <c r="G4" s="3760"/>
      <c r="H4" s="3760"/>
      <c r="I4" s="3761"/>
      <c r="K4" s="145"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45"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3.2">
      <c r="A5" s="3698" t="s">
        <v>1264</v>
      </c>
      <c r="B5" s="3753">
        <v>25</v>
      </c>
      <c r="C5" s="3756"/>
      <c r="D5" s="3744"/>
      <c r="E5" s="130" t="s">
        <v>1265</v>
      </c>
      <c r="F5" s="1753"/>
      <c r="G5" s="1753"/>
      <c r="H5" s="1753"/>
      <c r="I5" s="1369"/>
    </row>
    <row r="6" spans="1:12" ht="13.2">
      <c r="A6" s="3698"/>
      <c r="B6" s="3753"/>
      <c r="C6" s="3758"/>
      <c r="D6" s="3744"/>
      <c r="E6" s="130" t="s">
        <v>1266</v>
      </c>
      <c r="F6" s="1753"/>
      <c r="G6" s="1753"/>
      <c r="H6" s="1753"/>
      <c r="I6" s="1369"/>
    </row>
    <row r="7" spans="1:12" ht="13.2">
      <c r="A7" s="3698"/>
      <c r="B7" s="3753"/>
      <c r="C7" s="3757"/>
      <c r="D7" s="3744"/>
      <c r="E7" s="130" t="s">
        <v>1267</v>
      </c>
      <c r="F7" s="1753"/>
      <c r="G7" s="1753"/>
      <c r="H7" s="1753"/>
      <c r="I7" s="1369"/>
    </row>
    <row r="8" spans="1:12" ht="13.2">
      <c r="A8" s="3698" t="s">
        <v>1268</v>
      </c>
      <c r="B8" s="3753">
        <v>15</v>
      </c>
      <c r="C8" s="3756"/>
      <c r="D8" s="3744"/>
      <c r="E8" s="130" t="s">
        <v>1269</v>
      </c>
      <c r="F8" s="1753"/>
      <c r="G8" s="1753"/>
      <c r="H8" s="1753"/>
      <c r="I8" s="1369"/>
    </row>
    <row r="9" spans="1:12" ht="13.2">
      <c r="A9" s="3698"/>
      <c r="B9" s="3753"/>
      <c r="C9" s="3757"/>
      <c r="D9" s="3744"/>
      <c r="E9" s="130" t="s">
        <v>1270</v>
      </c>
      <c r="F9" s="1753"/>
      <c r="G9" s="1753"/>
      <c r="H9" s="1753"/>
      <c r="I9" s="1369"/>
    </row>
    <row r="10" spans="1:12" ht="13.2">
      <c r="A10" s="3698" t="s">
        <v>1271</v>
      </c>
      <c r="B10" s="3753">
        <v>15</v>
      </c>
      <c r="C10" s="3756"/>
      <c r="D10" s="3744"/>
      <c r="E10" s="130" t="s">
        <v>1272</v>
      </c>
      <c r="F10" s="1753"/>
      <c r="G10" s="1753"/>
      <c r="H10" s="1753"/>
      <c r="I10" s="1369"/>
    </row>
    <row r="11" spans="1:12" ht="13.2">
      <c r="A11" s="3698"/>
      <c r="B11" s="3753"/>
      <c r="C11" s="3757"/>
      <c r="D11" s="3744"/>
      <c r="E11" s="130" t="s">
        <v>1273</v>
      </c>
      <c r="F11" s="1753"/>
      <c r="G11" s="1753"/>
      <c r="H11" s="1753"/>
      <c r="I11" s="1369"/>
    </row>
    <row r="12" spans="1:12" ht="13.2">
      <c r="A12" s="3698" t="s">
        <v>1274</v>
      </c>
      <c r="B12" s="3753">
        <v>15</v>
      </c>
      <c r="C12" s="3756"/>
      <c r="D12" s="3744"/>
      <c r="E12" s="130" t="s">
        <v>1275</v>
      </c>
      <c r="F12" s="1753"/>
      <c r="G12" s="1753"/>
      <c r="H12" s="1753"/>
      <c r="I12" s="1369"/>
    </row>
    <row r="13" spans="1:12" ht="13.2">
      <c r="A13" s="3698"/>
      <c r="B13" s="3753"/>
      <c r="C13" s="3757"/>
      <c r="D13" s="3744"/>
      <c r="E13" s="130" t="s">
        <v>1276</v>
      </c>
      <c r="F13" s="1753"/>
      <c r="G13" s="1753"/>
      <c r="H13" s="1753"/>
      <c r="I13" s="1369"/>
    </row>
    <row r="14" spans="1:12" ht="13.2">
      <c r="A14" s="3698" t="s">
        <v>1277</v>
      </c>
      <c r="B14" s="3753">
        <v>30</v>
      </c>
      <c r="C14" s="3756">
        <v>4</v>
      </c>
      <c r="D14" s="3744">
        <v>6</v>
      </c>
      <c r="E14" s="130" t="s">
        <v>1278</v>
      </c>
      <c r="F14" s="1753"/>
      <c r="G14" s="1753"/>
      <c r="H14" s="1753"/>
      <c r="I14" s="1369"/>
    </row>
    <row r="15" spans="1:12" ht="13.2">
      <c r="A15" s="3698"/>
      <c r="B15" s="3753"/>
      <c r="C15" s="3758"/>
      <c r="D15" s="3744"/>
      <c r="E15" s="130" t="s">
        <v>1279</v>
      </c>
      <c r="F15" s="1753"/>
      <c r="G15" s="1753"/>
      <c r="H15" s="1753"/>
      <c r="I15" s="1369"/>
    </row>
    <row r="16" spans="1:12" ht="13.2">
      <c r="A16" s="3698"/>
      <c r="B16" s="3753"/>
      <c r="C16" s="3757"/>
      <c r="D16" s="3744"/>
      <c r="E16" s="130" t="s">
        <v>1280</v>
      </c>
      <c r="F16" s="1753"/>
      <c r="G16" s="1753"/>
      <c r="H16" s="1753"/>
      <c r="I16" s="1369"/>
    </row>
    <row r="17" spans="1:36" ht="14.4">
      <c r="A17" s="1754" t="s">
        <v>1281</v>
      </c>
      <c r="B17" s="56"/>
      <c r="C17" s="131">
        <f>SUM(C5:C16)</f>
        <v>4</v>
      </c>
      <c r="D17" s="131">
        <f>SUM(D5:D16)</f>
        <v>6</v>
      </c>
      <c r="E17" s="128"/>
      <c r="F17" s="128"/>
      <c r="G17" s="128"/>
      <c r="H17" s="128"/>
      <c r="I17" s="128"/>
      <c r="K17" s="301"/>
      <c r="L17" s="301" t="s">
        <v>1282</v>
      </c>
      <c r="M17" s="301" t="s">
        <v>1283</v>
      </c>
    </row>
    <row r="18" spans="1:36" ht="31.95" customHeight="1" thickBot="1">
      <c r="A18" s="1755" t="s">
        <v>1284</v>
      </c>
      <c r="B18" s="1756"/>
      <c r="C18" s="132">
        <f>ROUND(C17/SUM(C17:D17),2)</f>
        <v>0.4</v>
      </c>
      <c r="D18" s="132">
        <f>1-C18</f>
        <v>0.6</v>
      </c>
      <c r="E18" s="3775" t="s">
        <v>2127</v>
      </c>
      <c r="F18" s="3776"/>
      <c r="G18" s="3776"/>
      <c r="H18" s="3776"/>
      <c r="I18" s="3776"/>
      <c r="K18" s="301" t="s">
        <v>1285</v>
      </c>
      <c r="L18" s="301">
        <f>IF(C1="",'数据-汇总表'!E3,SUMIF(项目类型,C1,'数据-汇总表'!E17:E26)+SUMIF(项目类型,C1,'数据-汇总表'!I17:I26))</f>
        <v>30659.07</v>
      </c>
      <c r="M18" s="301">
        <f>IF(C1="",'数据-汇总表'!E3,SUMIF(项目类型,C1,'数据-汇总表'!E17:E26))</f>
        <v>30659.07</v>
      </c>
    </row>
    <row r="19" spans="1:36" ht="14.4">
      <c r="A19" s="1757" t="s">
        <v>1286</v>
      </c>
      <c r="B19" s="1758" t="s">
        <v>1287</v>
      </c>
      <c r="C19" s="133">
        <f ca="1">SUMIF(INDIRECT("'"&amp;C4&amp;"'"&amp;"!A:A"),'结果表-地下车库'!B19,INDIRECT("'"&amp;C4&amp;"'"&amp;"!B:B"))</f>
        <v>29402</v>
      </c>
      <c r="D19" s="134">
        <f ca="1">SUMIF(INDIRECT("'"&amp;D4&amp;"'"&amp;"!A:A"),'结果表-地下车库'!B19,INDIRECT("'"&amp;D4&amp;"'"&amp;"!B:B"))</f>
        <v>15069</v>
      </c>
      <c r="E19" s="1757" t="s">
        <v>1288</v>
      </c>
      <c r="F19" s="1758" t="s">
        <v>1287</v>
      </c>
      <c r="G19" s="135">
        <f ca="1">ROUND(C19*$C$18+D19*$D$18,0)</f>
        <v>20802</v>
      </c>
      <c r="H19" s="1759" t="s">
        <v>1289</v>
      </c>
      <c r="I19" s="128"/>
      <c r="K19" s="301" t="s">
        <v>1290</v>
      </c>
      <c r="L19" s="301">
        <f>IF(C1="",'数据-汇总表'!D3,SUMIF(项目类型,C1,'数据-汇总表'!D17:D26)+SUMIF(项目类型,C1,'数据-汇总表'!H17:H27))</f>
        <v>3874.55</v>
      </c>
      <c r="M19" s="301">
        <f>IF(C1="",'数据-汇总表'!D3,SUMIF(项目类型,C1,'数据-汇总表'!D17:D26))</f>
        <v>3874.55</v>
      </c>
    </row>
    <row r="20" spans="1:36" ht="14.4">
      <c r="A20" s="1760"/>
      <c r="B20" s="1022" t="s">
        <v>1291</v>
      </c>
      <c r="C20" s="136">
        <f ca="1">SUMIF(INDIRECT("'"&amp;C4&amp;"'"&amp;"!A:A"),'结果表-地下车库'!B20,INDIRECT("'"&amp;C4&amp;"'"&amp;"!B:B"))</f>
        <v>9590</v>
      </c>
      <c r="D20" s="137">
        <f ca="1">SUMIF(INDIRECT("'"&amp;D4&amp;"'"&amp;"!A:A"),'结果表-地下车库'!B20,INDIRECT("'"&amp;D4&amp;"'"&amp;"!B:B"))</f>
        <v>4915</v>
      </c>
      <c r="E20" s="1760"/>
      <c r="F20" s="1022" t="s">
        <v>1291</v>
      </c>
      <c r="G20" s="138">
        <f ca="1">ROUND(C20*$C$18+D20*$D$18,0)</f>
        <v>6785</v>
      </c>
      <c r="H20" s="804" t="s">
        <v>1292</v>
      </c>
      <c r="I20" s="128"/>
    </row>
    <row r="21" spans="1:36" ht="15" customHeight="1" thickBot="1">
      <c r="A21" s="824"/>
      <c r="B21" s="1761" t="s">
        <v>1293</v>
      </c>
      <c r="C21" s="717">
        <f ca="1">ROUND(C19*10000/L19,0)</f>
        <v>75885</v>
      </c>
      <c r="D21" s="718">
        <f ca="1">ROUND(D19*10000/L19,0)</f>
        <v>38892</v>
      </c>
      <c r="E21" s="824"/>
      <c r="F21" s="1761" t="s">
        <v>1293</v>
      </c>
      <c r="G21" s="139">
        <f ca="1">ROUND(G19*10000/L19,0)</f>
        <v>53689</v>
      </c>
      <c r="H21" s="1762" t="s">
        <v>1292</v>
      </c>
      <c r="I21" s="128"/>
    </row>
    <row r="22" spans="1:36" ht="15" thickBot="1">
      <c r="A22" s="1684" t="s">
        <v>1294</v>
      </c>
      <c r="B22" s="1763"/>
      <c r="C22" s="1764"/>
      <c r="D22" s="719">
        <f ca="1">IF(C19&lt;D19,D19/C19-1,C19/D19-1)</f>
        <v>0.95115800650341753</v>
      </c>
      <c r="E22" s="128"/>
      <c r="F22" s="128"/>
      <c r="G22" s="128"/>
      <c r="H22" s="128"/>
      <c r="I22" s="128"/>
    </row>
    <row r="23" spans="1:36" ht="13.8" thickBot="1">
      <c r="A23" s="1743"/>
      <c r="B23" s="1743"/>
      <c r="C23" s="1743"/>
      <c r="D23" s="1743"/>
      <c r="E23" s="128"/>
      <c r="F23" s="128"/>
      <c r="G23" s="128"/>
      <c r="H23" s="128"/>
      <c r="I23" s="128"/>
    </row>
    <row r="24" spans="1:36" ht="14.4">
      <c r="A24" s="3768" t="s">
        <v>1295</v>
      </c>
      <c r="B24" s="1758" t="s">
        <v>1287</v>
      </c>
      <c r="C24" s="135">
        <f>IF(B30=0,0,D30)</f>
        <v>0</v>
      </c>
      <c r="D24" s="1765"/>
      <c r="E24" s="128"/>
      <c r="F24" s="128"/>
      <c r="G24" s="128"/>
      <c r="H24" s="128"/>
      <c r="I24" s="128"/>
    </row>
    <row r="25" spans="1:36" ht="14.4">
      <c r="A25" s="3769"/>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3.8">
      <c r="A27" s="1767"/>
      <c r="B27" s="141">
        <v>0</v>
      </c>
      <c r="C27" s="141">
        <v>0</v>
      </c>
      <c r="D27" s="142">
        <f>ROUND(C27*B27/10000,0)</f>
        <v>0</v>
      </c>
      <c r="E27" s="128"/>
      <c r="F27" s="128"/>
      <c r="G27" s="128"/>
      <c r="H27" s="128"/>
      <c r="I27" s="128"/>
    </row>
    <row r="28" spans="1:36" ht="13.8">
      <c r="A28" s="1767"/>
      <c r="B28" s="141"/>
      <c r="C28" s="141"/>
      <c r="D28" s="142"/>
      <c r="E28" s="128"/>
      <c r="F28" s="128"/>
      <c r="G28" s="128"/>
      <c r="H28" s="128"/>
      <c r="I28" s="128"/>
    </row>
    <row r="29" spans="1:36" ht="13.8">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69" t="s">
        <v>1301</v>
      </c>
      <c r="B32" s="1770"/>
      <c r="C32" s="143">
        <f ca="1">IF(D32="总价",G19-C24,G20-C25)</f>
        <v>20802</v>
      </c>
      <c r="D32" s="1771" t="s">
        <v>3437</v>
      </c>
      <c r="E32" s="128"/>
      <c r="F32" s="128"/>
      <c r="G32" s="128"/>
      <c r="H32" s="128"/>
      <c r="I32" s="128"/>
    </row>
    <row r="33" spans="1:15" ht="14.4">
      <c r="A33" s="782" t="s">
        <v>1302</v>
      </c>
      <c r="B33" s="1772"/>
      <c r="C33" s="1773" t="s">
        <v>3444</v>
      </c>
      <c r="D33" s="1774" t="s">
        <v>3420</v>
      </c>
      <c r="E33" s="1775" t="s">
        <v>1303</v>
      </c>
      <c r="F33" s="1776" t="str">
        <f>IF(D32="楼面单价","取值（单价）","取值（总价）")</f>
        <v>取值（总价）</v>
      </c>
      <c r="G33" s="128"/>
      <c r="H33" s="128"/>
      <c r="I33" s="128"/>
    </row>
    <row r="34" spans="1:15" ht="14.4">
      <c r="A34" s="1777"/>
      <c r="B34" s="1778" t="s">
        <v>1304</v>
      </c>
      <c r="C34" s="147">
        <f ca="1">IF(C33="自定义",F34,C32-C35)</f>
        <v>7572</v>
      </c>
      <c r="D34" s="857">
        <f ca="1">IF(C33="自定义",ROUND(C34/C32,3),IF(C33="收益比率",SUMIF(INDIRECT("'"&amp;D33&amp;"'"&amp;"!b:b"),"土地收益比率",INDIRECT("'"&amp;D33&amp;"'"&amp;"!c:c")),SUMIF(INDIRECT("'"&amp;D33&amp;"'"&amp;"!b:b"),"土地成本比率",INDIRECT("'"&amp;D33&amp;"'"&amp;"!c:c"))))</f>
        <v>0.36399999999999999</v>
      </c>
      <c r="E34" s="1779" t="s">
        <v>1305</v>
      </c>
      <c r="F34" s="1326"/>
      <c r="G34" s="128"/>
      <c r="H34" s="128"/>
      <c r="I34" s="128"/>
    </row>
    <row r="35" spans="1:15" ht="15" thickBot="1">
      <c r="A35" s="1780"/>
      <c r="B35" s="1781" t="s">
        <v>1306</v>
      </c>
      <c r="C35" s="1166">
        <f ca="1">IF(C33="自定义",F35,ROUND(C32*D35,0))</f>
        <v>13230</v>
      </c>
      <c r="D35" s="1167">
        <f ca="1">IF(C33="自定义",ROUND(C35/C32,3),IF(C33="收益比率",SUMIF(INDIRECT("'"&amp;D33&amp;"'"&amp;"!b:b"),"建筑物收益比率",INDIRECT("'"&amp;D33&amp;"'"&amp;"!c:c")),SUMIF(INDIRECT("'"&amp;D33&amp;"'"&amp;"!b:b"),"建筑物成本比率",INDIRECT("'"&amp;D33&amp;"'"&amp;"!c:c"))))</f>
        <v>0.63600000000000001</v>
      </c>
      <c r="E35" s="1782" t="s">
        <v>1307</v>
      </c>
      <c r="F35" s="153"/>
      <c r="G35" s="128"/>
      <c r="H35" s="128"/>
      <c r="I35" s="128"/>
    </row>
    <row r="36" spans="1:15" ht="15" thickBot="1">
      <c r="A36" s="3745" t="s">
        <v>1308</v>
      </c>
      <c r="B36" s="1783" t="s">
        <v>1309</v>
      </c>
      <c r="C36" s="144"/>
      <c r="D36" s="1784"/>
      <c r="E36" s="1785"/>
      <c r="F36" s="1786"/>
      <c r="G36" s="128"/>
      <c r="H36" s="128"/>
      <c r="I36" s="128"/>
    </row>
    <row r="37" spans="1:15" ht="15" thickBot="1">
      <c r="A37" s="3746"/>
      <c r="B37" s="1670" t="s">
        <v>1310</v>
      </c>
      <c r="C37" s="146"/>
      <c r="D37" s="1135"/>
      <c r="E37" s="1135"/>
      <c r="F37" s="1786"/>
      <c r="G37" s="128"/>
      <c r="H37" s="128"/>
      <c r="I37" s="128"/>
    </row>
    <row r="38" spans="1:15" ht="15" thickBot="1">
      <c r="A38" s="3747"/>
      <c r="B38" s="1787" t="s">
        <v>1311</v>
      </c>
      <c r="C38" s="672"/>
      <c r="D38" s="1788" t="s">
        <v>1312</v>
      </c>
      <c r="E38" s="1135"/>
      <c r="F38" s="1786"/>
      <c r="G38" s="128"/>
      <c r="H38" s="128"/>
      <c r="I38" s="128"/>
    </row>
    <row r="39" spans="1:15" ht="14.4">
      <c r="A39" s="1760" t="s">
        <v>1313</v>
      </c>
      <c r="B39" s="1789" t="s">
        <v>1314</v>
      </c>
      <c r="C39" s="1790" t="s">
        <v>1315</v>
      </c>
      <c r="D39" s="1790" t="s">
        <v>1316</v>
      </c>
      <c r="E39" s="1791" t="s">
        <v>1317</v>
      </c>
      <c r="F39" s="1786"/>
      <c r="G39" s="128"/>
      <c r="H39" s="128"/>
      <c r="I39" s="128"/>
    </row>
    <row r="40" spans="1:15" ht="13.8">
      <c r="A40" s="1792" t="s">
        <v>1318</v>
      </c>
      <c r="B40" s="148"/>
      <c r="C40" s="149"/>
      <c r="D40" s="149"/>
      <c r="E40" s="150"/>
      <c r="F40" s="1786"/>
      <c r="G40" s="128"/>
      <c r="H40" s="128"/>
      <c r="I40" s="128"/>
    </row>
    <row r="41" spans="1:15" ht="13.8">
      <c r="A41" s="1792" t="s">
        <v>1319</v>
      </c>
      <c r="B41" s="148"/>
      <c r="C41" s="149"/>
      <c r="D41" s="149"/>
      <c r="E41" s="150"/>
      <c r="F41" s="1786"/>
      <c r="G41" s="128"/>
      <c r="H41" s="128"/>
      <c r="I41" s="128"/>
    </row>
    <row r="42" spans="1:15" ht="14.4" thickBot="1">
      <c r="A42" s="1793"/>
      <c r="B42" s="151"/>
      <c r="C42" s="152"/>
      <c r="D42" s="152"/>
      <c r="E42" s="153"/>
      <c r="F42" s="1786"/>
      <c r="G42" s="128"/>
      <c r="H42" s="128"/>
      <c r="I42" s="128"/>
    </row>
    <row r="43" spans="1:15" ht="13.2">
      <c r="A43" s="1573"/>
      <c r="B43" s="1573"/>
      <c r="C43" s="1573"/>
      <c r="D43" s="1573"/>
      <c r="E43" s="1573"/>
      <c r="F43" s="1794"/>
      <c r="G43" s="1794"/>
      <c r="H43" s="1794"/>
      <c r="I43" s="1795"/>
    </row>
    <row r="44" spans="1:15" ht="17.399999999999999">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65" t="s">
        <v>1322</v>
      </c>
      <c r="B45" s="3766"/>
      <c r="C45" s="3767"/>
      <c r="D45" s="154">
        <f ca="1">ROUND(H101*F45,0)</f>
        <v>20802</v>
      </c>
      <c r="E45" s="155" t="s">
        <v>1323</v>
      </c>
      <c r="F45" s="156">
        <v>1</v>
      </c>
      <c r="G45" s="157" t="s">
        <v>1324</v>
      </c>
      <c r="H45" s="128"/>
      <c r="I45" s="128"/>
      <c r="J45" s="3685" t="s">
        <v>1325</v>
      </c>
      <c r="K45" s="3685"/>
      <c r="L45" s="3685"/>
      <c r="M45" s="3685"/>
      <c r="N45" s="3685"/>
      <c r="O45" s="3685"/>
    </row>
    <row r="46" spans="1:15" ht="14.25" customHeight="1">
      <c r="A46" s="3762" t="s">
        <v>1326</v>
      </c>
      <c r="B46" s="3763"/>
      <c r="C46" s="3763"/>
      <c r="D46" s="3763"/>
      <c r="E46" s="3763"/>
      <c r="F46" s="3763"/>
      <c r="G46" s="3764"/>
      <c r="H46" s="1802"/>
      <c r="I46" s="158"/>
      <c r="J46" s="3463">
        <v>1</v>
      </c>
      <c r="K46" s="3686" t="s">
        <v>1327</v>
      </c>
      <c r="L46" s="3686"/>
      <c r="M46" s="3687"/>
      <c r="N46" s="3687"/>
      <c r="O46" s="3687"/>
    </row>
    <row r="47" spans="1:15" ht="12" customHeight="1">
      <c r="A47" s="159" t="s">
        <v>1328</v>
      </c>
      <c r="B47" s="160"/>
      <c r="C47" s="161"/>
      <c r="D47" s="1083" t="s">
        <v>1329</v>
      </c>
      <c r="E47" s="301" t="s">
        <v>1330</v>
      </c>
      <c r="F47" s="162" t="s">
        <v>1331</v>
      </c>
      <c r="G47" s="2542" t="s">
        <v>1332</v>
      </c>
      <c r="H47" s="2543"/>
      <c r="I47" s="158"/>
      <c r="J47" s="3463">
        <v>2</v>
      </c>
      <c r="K47" s="3686" t="s">
        <v>1333</v>
      </c>
      <c r="L47" s="3686"/>
      <c r="M47" s="3688">
        <f>'数据-取费表'!B2</f>
        <v>45086</v>
      </c>
      <c r="N47" s="3688"/>
      <c r="O47" s="3688"/>
    </row>
    <row r="48" spans="1:15" ht="26.4">
      <c r="A48" s="3748" t="s">
        <v>1334</v>
      </c>
      <c r="B48" s="3749"/>
      <c r="C48" s="3749"/>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686" t="s">
        <v>1336</v>
      </c>
      <c r="L48" s="3686"/>
      <c r="M48" s="3689">
        <f ca="1">H101</f>
        <v>20802</v>
      </c>
      <c r="N48" s="3689"/>
      <c r="O48" s="3689"/>
    </row>
    <row r="49" spans="1:35" ht="25.5" customHeight="1">
      <c r="A49" s="3458" t="s">
        <v>1337</v>
      </c>
      <c r="B49" s="3734" t="s">
        <v>1338</v>
      </c>
      <c r="C49" s="3734"/>
      <c r="D49" s="1586">
        <v>0</v>
      </c>
      <c r="E49" s="323" t="s">
        <v>1339</v>
      </c>
      <c r="F49" s="3448" t="s">
        <v>28</v>
      </c>
      <c r="G49" s="3717"/>
      <c r="H49" s="2306" t="s">
        <v>2130</v>
      </c>
      <c r="I49" s="2307"/>
      <c r="J49" s="3463">
        <v>4</v>
      </c>
      <c r="K49" s="3686" t="str">
        <f>IF(项目基本情况!E8="房地产抵押价值","房地产抵押价值","抵押担保权已注销时的房地产抵押价值")</f>
        <v>房地产抵押价值</v>
      </c>
      <c r="L49" s="3686"/>
      <c r="M49" s="3689">
        <f ca="1">IF(项目基本情况!E8="房地产抵押价值",H107,H109)</f>
        <v>20802</v>
      </c>
      <c r="N49" s="3689"/>
      <c r="O49" s="3689"/>
    </row>
    <row r="50" spans="1:35" ht="25.5" customHeight="1">
      <c r="A50" s="2547"/>
      <c r="B50" s="3734" t="s">
        <v>1340</v>
      </c>
      <c r="C50" s="3734"/>
      <c r="D50" s="2548"/>
      <c r="E50" s="331"/>
      <c r="F50" s="3448"/>
      <c r="G50" s="3718"/>
      <c r="H50" s="2308" t="s">
        <v>2131</v>
      </c>
      <c r="I50" s="2307"/>
      <c r="J50" s="3685" t="s">
        <v>1341</v>
      </c>
      <c r="K50" s="3685"/>
      <c r="L50" s="3685"/>
      <c r="M50" s="3685"/>
      <c r="N50" s="3685"/>
      <c r="O50" s="3685"/>
    </row>
    <row r="51" spans="1:35" ht="20.399999999999999" customHeight="1">
      <c r="A51" s="2549"/>
      <c r="B51" s="3734" t="s">
        <v>1342</v>
      </c>
      <c r="C51" s="3734"/>
      <c r="D51" s="1083"/>
      <c r="E51" s="326"/>
      <c r="F51" s="3448"/>
      <c r="G51" s="3719"/>
      <c r="H51" s="2308" t="s">
        <v>2132</v>
      </c>
      <c r="I51" s="2307"/>
      <c r="J51" s="3462" t="s">
        <v>1343</v>
      </c>
      <c r="K51" s="3686" t="s">
        <v>1344</v>
      </c>
      <c r="L51" s="3686"/>
      <c r="M51" s="3462" t="s">
        <v>1345</v>
      </c>
      <c r="N51" s="3462" t="s">
        <v>1346</v>
      </c>
      <c r="O51" s="3462" t="s">
        <v>1347</v>
      </c>
    </row>
    <row r="52" spans="1:35" ht="24" customHeight="1">
      <c r="A52" s="3453" t="s">
        <v>1348</v>
      </c>
      <c r="B52" s="3734" t="s">
        <v>1349</v>
      </c>
      <c r="C52" s="3734"/>
      <c r="D52" s="1083">
        <f ca="1">ROUND(D45*'数据-取费表'!B41/(1+'数据-取费表'!C42),0)</f>
        <v>1109</v>
      </c>
      <c r="E52" s="3454" t="s">
        <v>1350</v>
      </c>
      <c r="F52" s="2550">
        <f>'数据-取费表'!B41</f>
        <v>5.6000000000000001E-2</v>
      </c>
      <c r="G52" s="2551"/>
      <c r="H52" s="2540"/>
      <c r="I52" s="1803"/>
      <c r="J52" s="3463">
        <v>1</v>
      </c>
      <c r="K52" s="3711" t="s">
        <v>1351</v>
      </c>
      <c r="L52" s="3711"/>
      <c r="M52" s="2521" t="b">
        <f>D48</f>
        <v>0</v>
      </c>
      <c r="N52" s="3463" t="str">
        <f>E48</f>
        <v>销售额×税（费）率</v>
      </c>
      <c r="O52" s="2522">
        <f>F48</f>
        <v>5.6000000000000001E-2</v>
      </c>
    </row>
    <row r="53" spans="1:35" ht="12" customHeight="1">
      <c r="A53" s="3453" t="s">
        <v>1352</v>
      </c>
      <c r="B53" s="3735" t="s">
        <v>2286</v>
      </c>
      <c r="C53" s="3736"/>
      <c r="D53" s="1083">
        <f ca="1">ROUND(D45*'数据-取费表'!B41/(1+'数据-取费表'!C42),0)</f>
        <v>1109</v>
      </c>
      <c r="E53" s="3454" t="s">
        <v>1350</v>
      </c>
      <c r="F53" s="2550">
        <f>'数据-取费表'!B41</f>
        <v>5.6000000000000001E-2</v>
      </c>
      <c r="G53" s="2551"/>
      <c r="H53" s="2540"/>
      <c r="I53" s="1803"/>
      <c r="J53" s="3463">
        <v>2</v>
      </c>
      <c r="K53" s="3711" t="s">
        <v>1353</v>
      </c>
      <c r="L53" s="3711"/>
      <c r="M53" s="2521">
        <f t="shared" ref="M53:O54" ca="1" si="0">D55</f>
        <v>10</v>
      </c>
      <c r="N53" s="3463" t="str">
        <f t="shared" si="0"/>
        <v>销售额×税（费）率</v>
      </c>
      <c r="O53" s="2522" t="str">
        <f t="shared" si="0"/>
        <v>免征</v>
      </c>
    </row>
    <row r="54" spans="1:35" ht="12" customHeight="1">
      <c r="A54" s="3453" t="s">
        <v>1354</v>
      </c>
      <c r="B54" s="3735" t="s">
        <v>2287</v>
      </c>
      <c r="C54" s="3736"/>
      <c r="D54" s="1083">
        <f ca="1">C68</f>
        <v>1109</v>
      </c>
      <c r="E54" s="326" t="s">
        <v>1355</v>
      </c>
      <c r="F54" s="2550">
        <f>'数据-取费表'!B41</f>
        <v>5.6000000000000001E-2</v>
      </c>
      <c r="G54" s="2551"/>
      <c r="H54" s="2552"/>
      <c r="I54" s="1803"/>
      <c r="J54" s="3463">
        <v>3</v>
      </c>
      <c r="K54" s="3711" t="s">
        <v>1356</v>
      </c>
      <c r="L54" s="3711"/>
      <c r="M54" s="2521">
        <f t="shared" ca="1" si="0"/>
        <v>11774</v>
      </c>
      <c r="N54" s="3463" t="str">
        <f t="shared" si="0"/>
        <v>增值额×税（费）率</v>
      </c>
      <c r="O54" s="2523" t="str">
        <f t="shared" si="0"/>
        <v>免征</v>
      </c>
    </row>
    <row r="55" spans="1:35" ht="24" customHeight="1">
      <c r="A55" s="3771" t="s">
        <v>1357</v>
      </c>
      <c r="B55" s="3749"/>
      <c r="C55" s="3749"/>
      <c r="D55" s="3465">
        <f ca="1">IF(H55="个人住宅",0,ROUND(D45*I55,0))</f>
        <v>10</v>
      </c>
      <c r="E55" s="3454" t="s">
        <v>1358</v>
      </c>
      <c r="F55" s="2550" t="str">
        <f>IF(H55="正常",I55,"免征")</f>
        <v>免征</v>
      </c>
      <c r="G55" s="2551"/>
      <c r="H55" s="2546"/>
      <c r="I55" s="164">
        <f>'数据-取费表'!B49</f>
        <v>5.0000000000000001E-4</v>
      </c>
      <c r="J55" s="3463">
        <f>IF(H59="非个人房产","",4)</f>
        <v>4</v>
      </c>
      <c r="K55" s="3711" t="str">
        <f>IF(H59="非个人房产","——","个人所得税")</f>
        <v>个人所得税</v>
      </c>
      <c r="L55" s="3711"/>
      <c r="M55" s="2524">
        <f ca="1">D59</f>
        <v>198</v>
      </c>
      <c r="N55" s="3464" t="str">
        <f>E59</f>
        <v>差额计税</v>
      </c>
      <c r="O55" s="2525">
        <f>F59</f>
        <v>0.01</v>
      </c>
    </row>
    <row r="56" spans="1:35" ht="25.2">
      <c r="A56" s="3771" t="s">
        <v>1359</v>
      </c>
      <c r="B56" s="3749"/>
      <c r="C56" s="3749"/>
      <c r="D56" s="3465">
        <f ca="1">IF(H56="个人住宅",D57,D58)</f>
        <v>11774</v>
      </c>
      <c r="E56" s="3454" t="s">
        <v>1360</v>
      </c>
      <c r="F56" s="2550" t="str">
        <f>IF(H56="正常",F58,"免征")</f>
        <v>免征</v>
      </c>
      <c r="G56" s="2553" t="s">
        <v>1361</v>
      </c>
      <c r="H56" s="2554"/>
      <c r="I56" s="1804"/>
      <c r="J56" s="3463" t="str">
        <f>IF(项目基本情况!K6="上海银行",IF(J55="",4,J55+1),"")</f>
        <v/>
      </c>
      <c r="K56" s="3692" t="str">
        <f>IF(项目基本情况!K6="上海银行","其他处置费用","")</f>
        <v/>
      </c>
      <c r="L56" s="3693"/>
      <c r="M56" s="2521" t="str">
        <f>IF(项目基本情况!K6="上海银行",M69,"")</f>
        <v/>
      </c>
      <c r="N56" s="3692" t="str">
        <f>IF(项目基本情况!K6="上海银行","包含处置中涉及的律师、诉讼、拍卖、评估等费用","")</f>
        <v/>
      </c>
      <c r="O56" s="3695"/>
    </row>
    <row r="57" spans="1:35" ht="13.2">
      <c r="A57" s="3453" t="s">
        <v>1337</v>
      </c>
      <c r="B57" s="3735" t="s">
        <v>1362</v>
      </c>
      <c r="C57" s="3736"/>
      <c r="D57" s="1586">
        <v>0</v>
      </c>
      <c r="E57" s="323" t="s">
        <v>1339</v>
      </c>
      <c r="F57" s="301"/>
      <c r="G57" s="2551"/>
      <c r="H57" s="2555"/>
      <c r="I57" s="1804"/>
      <c r="J57" s="3711">
        <f>IF(AND(J55="",J56=""),4,IF(项目基本情况!K6="上海银行",'结果表-地下车库'!J56+1,'结果表-地下车库'!J55+1))</f>
        <v>5</v>
      </c>
      <c r="K57" s="3711" t="s">
        <v>1363</v>
      </c>
      <c r="L57" s="2526" t="s">
        <v>1364</v>
      </c>
      <c r="M57" s="2527"/>
      <c r="N57" s="2528">
        <f ca="1">SUMIF(M52:M56,"&lt;9e307")</f>
        <v>11982</v>
      </c>
      <c r="O57" s="2529"/>
      <c r="P57" s="2686">
        <f ca="1">N57/M49</f>
        <v>0.57600230747043557</v>
      </c>
    </row>
    <row r="58" spans="1:35" ht="25.2">
      <c r="A58" s="3453" t="s">
        <v>1348</v>
      </c>
      <c r="B58" s="3735" t="s">
        <v>1365</v>
      </c>
      <c r="C58" s="3734"/>
      <c r="D58" s="3465">
        <f ca="1">IF(H58="转让取得",C81,C97)</f>
        <v>11774</v>
      </c>
      <c r="E58" s="3454" t="s">
        <v>1360</v>
      </c>
      <c r="F58" s="301" t="s">
        <v>28</v>
      </c>
      <c r="G58" s="2551"/>
      <c r="H58" s="2554"/>
      <c r="I58" s="1804"/>
      <c r="J58" s="3711"/>
      <c r="K58" s="3711"/>
      <c r="L58" s="2526" t="s">
        <v>1366</v>
      </c>
      <c r="M58" s="2530"/>
      <c r="N58" s="2531" t="str">
        <f ca="1">NUMBERSTRING(INT(N57*10000),2)&amp;"元整"</f>
        <v>壹亿壹仟玖佰捌拾贰万元整</v>
      </c>
      <c r="O58" s="2532"/>
    </row>
    <row r="59" spans="1:35" ht="24.6" thickBot="1">
      <c r="A59" s="3715" t="s">
        <v>1367</v>
      </c>
      <c r="B59" s="3716"/>
      <c r="C59" s="3716"/>
      <c r="D59" s="2556">
        <f ca="1">IF(H59="非个人房产","——",IF(H59="个人住宅（满五唯一有凭证）",0,IF(H59="个人其他（无凭证）",ROUND(D45*F59,0),ROUND(C67*F59,0))))</f>
        <v>198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13">
        <f>J57+1</f>
        <v>6</v>
      </c>
      <c r="K59" s="3711" t="s">
        <v>1368</v>
      </c>
      <c r="L59" s="3463" t="s">
        <v>1364</v>
      </c>
      <c r="M59" s="2533"/>
      <c r="N59" s="2534">
        <f ca="1">M49-N57</f>
        <v>8820</v>
      </c>
      <c r="O59" s="2535"/>
    </row>
    <row r="60" spans="1:35" ht="12" customHeight="1">
      <c r="A60" s="1805"/>
      <c r="B60" s="1743"/>
      <c r="C60" s="1743"/>
      <c r="D60" s="1743"/>
      <c r="E60" s="1574"/>
      <c r="F60" s="1804"/>
      <c r="G60" s="1804"/>
      <c r="H60" s="1806"/>
      <c r="I60" s="128"/>
      <c r="J60" s="3714"/>
      <c r="K60" s="3711"/>
      <c r="L60" s="2526" t="s">
        <v>1366</v>
      </c>
      <c r="M60" s="2530"/>
      <c r="N60" s="2531" t="str">
        <f ca="1">NUMBERSTRING(INT(N59*10000),2)&amp;"元整"</f>
        <v>捌仟捌佰贰拾万元整</v>
      </c>
      <c r="O60" s="2532"/>
    </row>
    <row r="61" spans="1:35" ht="13.8" thickBot="1">
      <c r="A61" s="3770" t="s">
        <v>1369</v>
      </c>
      <c r="B61" s="3770"/>
      <c r="C61" s="3770"/>
      <c r="D61" s="3770"/>
      <c r="E61" s="3770"/>
      <c r="F61" s="1804"/>
      <c r="G61" s="1804"/>
      <c r="H61" s="1806"/>
      <c r="I61" s="128"/>
      <c r="J61" s="3463">
        <f>J59+1</f>
        <v>7</v>
      </c>
      <c r="K61" s="3711" t="s">
        <v>1370</v>
      </c>
      <c r="L61" s="3711"/>
      <c r="M61" s="2536"/>
      <c r="N61" s="2537">
        <f ca="1">ROUND(N59*10000/'数据-汇总表'!E3,0)</f>
        <v>889</v>
      </c>
      <c r="O61" s="2538"/>
    </row>
    <row r="62" spans="1:35" ht="13.2">
      <c r="A62" s="3730" t="s">
        <v>1371</v>
      </c>
      <c r="B62" s="3731"/>
      <c r="C62" s="3457"/>
      <c r="D62" s="3457" t="s">
        <v>1372</v>
      </c>
      <c r="E62" s="165" t="s">
        <v>1373</v>
      </c>
      <c r="F62" s="1804"/>
      <c r="G62" s="1804"/>
      <c r="H62" s="1806"/>
      <c r="I62" s="128"/>
    </row>
    <row r="63" spans="1:35" ht="13.2">
      <c r="A63" s="172" t="s">
        <v>330</v>
      </c>
      <c r="B63" s="166" t="s">
        <v>1374</v>
      </c>
      <c r="C63" s="2560">
        <f ca="1">ROUND((C64+C65)/(1+'数据-取费表'!C42),0)</f>
        <v>19811</v>
      </c>
      <c r="D63" s="166"/>
      <c r="E63" s="167"/>
      <c r="F63" s="1804"/>
      <c r="G63" s="1804"/>
      <c r="H63" s="1806"/>
      <c r="I63" s="128"/>
      <c r="J63" s="3694" t="s">
        <v>1375</v>
      </c>
      <c r="K63" s="3466" t="s">
        <v>1376</v>
      </c>
      <c r="L63" s="3466">
        <f ca="1">IF(M49&gt;10000,M49*0.5%,IF(AND(M49&gt;1000,M49&lt;=10000),M49*1%,IF(AND(M49&gt;100,M49&lt;=1000),M49*3%,IF(AND(M49&gt;10,M49&lt;=100),M49*5%,M49*8%))))</f>
        <v>104.01</v>
      </c>
      <c r="M63" s="301">
        <f ca="1">ROUND(L63,1)</f>
        <v>104</v>
      </c>
      <c r="N63" s="2539"/>
      <c r="Z63" s="1748"/>
      <c r="AI63" s="1749"/>
    </row>
    <row r="64" spans="1:35" ht="14.25" customHeight="1">
      <c r="A64" s="168" t="s">
        <v>325</v>
      </c>
      <c r="B64" s="169" t="s">
        <v>1377</v>
      </c>
      <c r="C64" s="2561">
        <f ca="1">D45</f>
        <v>20802</v>
      </c>
      <c r="D64" s="169" t="s">
        <v>26</v>
      </c>
      <c r="E64" s="171"/>
      <c r="F64" s="1804"/>
      <c r="G64" s="1804"/>
      <c r="H64" s="1806"/>
      <c r="I64" s="128"/>
      <c r="J64" s="3694"/>
      <c r="K64" s="3466" t="s">
        <v>1378</v>
      </c>
      <c r="L64" s="3466">
        <f ca="1">IF(M49&gt;2000,M49*0.5%,IF(AND(M49&gt;1000,M49&lt;=2000),M49*0.6%,IF(AND(M49&gt;500,M49&lt;=1000),M49*0.7%,IF(AND(M49&gt;200,M49&lt;=500),M49*0.8%,IF(AND(M49&gt;100,M49&lt;=200),M49*0.9%,IF(AND(M49&gt;50,M49&lt;=100),M49*1%,IF(AND(M49&gt;20,M49&lt;=50),M49*1.5%,IF(AND(M49&gt;10,M49&lt;=20),M49*2%,IF(AND(M49&gt;1,M49&lt;=10),M49*2.5%)))))))))</f>
        <v>104.01</v>
      </c>
      <c r="M64" s="301">
        <f t="shared" ref="M64:M65" ca="1" si="1">ROUND(L64,1)</f>
        <v>104</v>
      </c>
      <c r="N64" s="2540" t="s">
        <v>1379</v>
      </c>
      <c r="Z64" s="1748"/>
      <c r="AI64" s="1749"/>
    </row>
    <row r="65" spans="1:35" ht="14.25" customHeight="1">
      <c r="A65" s="168" t="s">
        <v>326</v>
      </c>
      <c r="B65" s="169" t="s">
        <v>1380</v>
      </c>
      <c r="C65" s="2562"/>
      <c r="D65" s="169"/>
      <c r="E65" s="171"/>
      <c r="F65" s="1804"/>
      <c r="G65" s="1804"/>
      <c r="H65" s="1806"/>
      <c r="I65" s="128"/>
      <c r="J65" s="3694"/>
      <c r="K65" s="3466" t="s">
        <v>1381</v>
      </c>
      <c r="L65" s="3466">
        <f ca="1">IF(M49&gt;1000,M49*0.1%,IF(AND(M49&gt;500,M49&lt;=1000),M49*0.5%,IF(AND(M49&gt;50,M49&lt;=500),M49*1%,IF(AND(M49&gt;1,M49&lt;=50),M49*1.5%))))</f>
        <v>20.802</v>
      </c>
      <c r="M65" s="301">
        <f t="shared" ca="1" si="1"/>
        <v>20.8</v>
      </c>
      <c r="N65" s="2540" t="s">
        <v>1379</v>
      </c>
      <c r="Z65" s="1748"/>
      <c r="AI65" s="1749"/>
    </row>
    <row r="66" spans="1:35" ht="14.25" customHeight="1">
      <c r="A66" s="172" t="s">
        <v>327</v>
      </c>
      <c r="B66" s="173" t="s">
        <v>1382</v>
      </c>
      <c r="C66" s="2563"/>
      <c r="D66" s="173" t="s">
        <v>26</v>
      </c>
      <c r="E66" s="1334" t="s">
        <v>667</v>
      </c>
      <c r="F66" s="1804"/>
      <c r="G66" s="1804"/>
      <c r="H66" s="1806"/>
      <c r="I66" s="128"/>
      <c r="J66" s="3694"/>
      <c r="K66" s="3466" t="s">
        <v>1383</v>
      </c>
      <c r="L66" s="3466">
        <f ca="1">M49*0.5%</f>
        <v>104.01</v>
      </c>
      <c r="M66" s="301">
        <f ca="1">IF(L66&gt;0.5,0.5,ROUND(L66,0))</f>
        <v>0.5</v>
      </c>
      <c r="N66" s="2540" t="s">
        <v>1384</v>
      </c>
      <c r="Z66" s="1748"/>
      <c r="AI66" s="1749"/>
    </row>
    <row r="67" spans="1:35" ht="14.25" customHeight="1">
      <c r="A67" s="172" t="s">
        <v>328</v>
      </c>
      <c r="B67" s="173" t="s">
        <v>1385</v>
      </c>
      <c r="C67" s="2564">
        <f ca="1">C63-C66</f>
        <v>19811</v>
      </c>
      <c r="D67" s="169" t="s">
        <v>26</v>
      </c>
      <c r="E67" s="171"/>
      <c r="F67" s="1804"/>
      <c r="G67" s="1804"/>
      <c r="H67" s="1806"/>
      <c r="I67" s="128"/>
      <c r="J67" s="3694"/>
      <c r="K67" s="3466" t="s">
        <v>1386</v>
      </c>
      <c r="L67" s="3466">
        <f ca="1">IF(M49&gt;=10000,(8.25+(M49-10000)*0.01%),IF(AND(M49&gt;=8000,M49&lt;10000),(7.85+(M49-8000)*0.02%),IF(AND(M49&gt;=5000,M49&lt;8000),(6.65+(M49-5000)*0.04%),IF(AND(M49&gt;=2000,M49&lt;5000),(4.25+(PM49-2000)*0.08%),IF(AND(M49&gt;=1000,M49&lt;2000),(2.75+(M49-1000)*0.15%),IF(AND(M49&gt;=100,M49&lt;1000),(0.5+(M49-100)*0.25%),IF(AND(M49&gt;0,M49&lt;100),M49*0.5%)))))))</f>
        <v>9.3301999999999996</v>
      </c>
      <c r="M67" s="301">
        <f ca="1">ROUND(L67*0.9,1)</f>
        <v>8.4</v>
      </c>
      <c r="N67" s="2539"/>
      <c r="Z67" s="1748"/>
      <c r="AI67" s="1749"/>
    </row>
    <row r="68" spans="1:35" ht="14.25" customHeight="1" thickBot="1">
      <c r="A68" s="175" t="s">
        <v>329</v>
      </c>
      <c r="B68" s="176" t="s">
        <v>1387</v>
      </c>
      <c r="C68" s="2565">
        <f ca="1">IF(C67&lt;=0,0,ROUND(C67*D68,0))</f>
        <v>1109</v>
      </c>
      <c r="D68" s="2566">
        <f>'数据-取费表'!B41</f>
        <v>5.6000000000000001E-2</v>
      </c>
      <c r="E68" s="177"/>
      <c r="F68" s="1804"/>
      <c r="G68" s="1804"/>
      <c r="H68" s="1806"/>
      <c r="I68" s="128"/>
      <c r="J68" s="3694"/>
      <c r="K68" s="3466" t="s">
        <v>1388</v>
      </c>
      <c r="L68" s="3466">
        <f ca="1">IF(M49&gt;10000,M49*0.5%,IF(AND(M49&gt;5000,M49&lt;=10000),M49*1%,IF(AND(M49&gt;1000,M49&lt;=5000),M49*2%,IF(AND(M49&gt;200,M49&lt;=1000),M49*3%,M49*5%))))</f>
        <v>104.01</v>
      </c>
      <c r="M68" s="301">
        <f ca="1">ROUND(L68,1)</f>
        <v>104</v>
      </c>
      <c r="N68" s="2539"/>
      <c r="Z68" s="1748"/>
      <c r="AI68" s="1749"/>
    </row>
    <row r="69" spans="1:35" s="1768" customFormat="1" ht="16.5" customHeight="1">
      <c r="A69" s="1807"/>
      <c r="B69" s="1808"/>
      <c r="C69" s="1809"/>
      <c r="D69" s="1810"/>
      <c r="E69" s="1811"/>
      <c r="F69" s="1574"/>
      <c r="G69" s="1574"/>
      <c r="H69" s="1573"/>
      <c r="I69" s="1743"/>
      <c r="J69" s="3694"/>
      <c r="K69" s="3466" t="s">
        <v>1389</v>
      </c>
      <c r="L69" s="3466"/>
      <c r="M69" s="301">
        <f ca="1">ROUND(SUM(M63:M68),0)</f>
        <v>342</v>
      </c>
      <c r="N69" s="2541">
        <f ca="1">M69/M49</f>
        <v>1.6440726853187194E-2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738" t="s">
        <v>1390</v>
      </c>
      <c r="B70" s="3739"/>
      <c r="C70" s="3739"/>
      <c r="D70" s="3739"/>
      <c r="E70" s="3739"/>
      <c r="F70" s="3739"/>
      <c r="G70" s="3739"/>
      <c r="H70" s="373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730" t="s">
        <v>1371</v>
      </c>
      <c r="B71" s="3731"/>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2" t="s">
        <v>330</v>
      </c>
      <c r="B72" s="173" t="s">
        <v>1391</v>
      </c>
      <c r="C72" s="2564">
        <f ca="1">ROUND(D45/(1+'数据-取费表'!C42),0)</f>
        <v>19811</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2" t="s">
        <v>327</v>
      </c>
      <c r="B73" s="162" t="s">
        <v>1392</v>
      </c>
      <c r="C73" s="2564">
        <f ca="1">C74+C78</f>
        <v>119</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35" t="s">
        <v>1398</v>
      </c>
      <c r="F76" s="3734"/>
      <c r="G76" s="3734"/>
      <c r="H76" s="373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119</v>
      </c>
      <c r="D78" s="2573">
        <f>'数据-取费表'!B43</f>
        <v>6.000000000000001E-3</v>
      </c>
      <c r="E78" s="3727" t="s">
        <v>1402</v>
      </c>
      <c r="F78" s="3728"/>
      <c r="G78" s="3728"/>
      <c r="H78" s="372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2" t="s">
        <v>328</v>
      </c>
      <c r="B79" s="173" t="s">
        <v>1403</v>
      </c>
      <c r="C79" s="2564">
        <f ca="1">C72-C73</f>
        <v>19692</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165.47899159663865</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5" t="s">
        <v>336</v>
      </c>
      <c r="B81" s="176" t="s">
        <v>1405</v>
      </c>
      <c r="C81" s="2575">
        <f ca="1">ROUND(IF(C79&lt;=0,0,IF(C80&gt;=200%,C79*60%-C73*35%,IF(C80&gt;=100%,C79*50%-C73*15%,IF(C80&gt;=50%,C79*40%-C73*5%,IF(C80&lt;50%,C79*30%,0))))),0)</f>
        <v>11774</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738" t="s">
        <v>1406</v>
      </c>
      <c r="B83" s="3739"/>
      <c r="C83" s="3739"/>
      <c r="D83" s="3739"/>
      <c r="E83" s="3739"/>
      <c r="F83" s="3739"/>
      <c r="G83" s="3739"/>
      <c r="H83" s="373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730" t="s">
        <v>1371</v>
      </c>
      <c r="B84" s="3731"/>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2" t="s">
        <v>330</v>
      </c>
      <c r="B85" s="173" t="s">
        <v>1391</v>
      </c>
      <c r="C85" s="2564">
        <f ca="1">ROUND(D45/(1+'数据-取费表'!C42),0)</f>
        <v>19811</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2" t="s">
        <v>327</v>
      </c>
      <c r="B86" s="162" t="s">
        <v>1392</v>
      </c>
      <c r="C86" s="2564">
        <f ca="1">IF(H88="仅含出让金",C87+C90+C91+C92+C93+C94,C87+C91+C92+C93+C94)</f>
        <v>119</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8" t="s">
        <v>326</v>
      </c>
      <c r="B90" s="169" t="s">
        <v>1412</v>
      </c>
      <c r="C90" s="2578"/>
      <c r="D90" s="2573"/>
      <c r="E90" s="192" t="str">
        <f>IF(H88="-","土地取得成本中已包含该笔费用"," ")</f>
        <v xml:space="preserve"> </v>
      </c>
      <c r="F90" s="3451"/>
      <c r="G90" s="3696" t="s">
        <v>2125</v>
      </c>
      <c r="H90" s="3697"/>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727" t="s">
        <v>1415</v>
      </c>
      <c r="F91" s="3728"/>
      <c r="G91" s="372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727" t="s">
        <v>1418</v>
      </c>
      <c r="F92" s="3728"/>
      <c r="G92" s="3728"/>
      <c r="H92" s="3729"/>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119</v>
      </c>
      <c r="D93" s="2573">
        <f>'数据-取费表'!B43</f>
        <v>6.000000000000001E-3</v>
      </c>
      <c r="E93" s="3727" t="s">
        <v>1402</v>
      </c>
      <c r="F93" s="3728"/>
      <c r="G93" s="3728"/>
      <c r="H93" s="372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72" t="s">
        <v>1422</v>
      </c>
      <c r="F94" s="3773"/>
      <c r="G94" s="3773"/>
      <c r="H94" s="377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2" t="s">
        <v>328</v>
      </c>
      <c r="B95" s="173" t="s">
        <v>1403</v>
      </c>
      <c r="C95" s="2564">
        <f ca="1">ROUND(C85-C86,0)</f>
        <v>19692</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165.47899159663865</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5" t="s">
        <v>336</v>
      </c>
      <c r="B97" s="176" t="s">
        <v>1405</v>
      </c>
      <c r="C97" s="2575">
        <f ca="1">ROUND(IF(C95&lt;=0,0,IF(C96&gt;=200%,C95*60%-C86*35%,IF(C96&gt;=100%,C95*50%-C86*15%,IF(C96&gt;=50%,C95*40%-C86*5%,IF(C96&lt;50%,C95*30%,0))))),0)</f>
        <v>11774</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7" t="s">
        <v>1424</v>
      </c>
      <c r="B100" s="3678"/>
      <c r="C100" s="3678"/>
      <c r="D100" s="3712"/>
      <c r="E100" s="3678" t="s">
        <v>1425</v>
      </c>
      <c r="F100" s="3678"/>
      <c r="G100" s="3678"/>
      <c r="H100" s="3712"/>
      <c r="I100" s="128"/>
    </row>
    <row r="101" spans="1:35" ht="18.75" customHeight="1">
      <c r="A101" s="3720" t="s">
        <v>1426</v>
      </c>
      <c r="B101" s="3721"/>
      <c r="C101" s="2581" t="str">
        <f>C4</f>
        <v>成本法-地下车库</v>
      </c>
      <c r="D101" s="2582" t="str">
        <f>D4</f>
        <v>收益法-地下车库</v>
      </c>
      <c r="E101" s="3690" t="s">
        <v>1427</v>
      </c>
      <c r="F101" s="3691"/>
      <c r="G101" s="1823" t="s">
        <v>1428</v>
      </c>
      <c r="H101" s="2591">
        <f ca="1">H118</f>
        <v>20802</v>
      </c>
      <c r="I101" s="128"/>
    </row>
    <row r="102" spans="1:35" ht="18.75" customHeight="1">
      <c r="A102" s="3722" t="s">
        <v>1429</v>
      </c>
      <c r="B102" s="2580" t="s">
        <v>1428</v>
      </c>
      <c r="C102" s="2581">
        <f ca="1">IF(D32="楼面单价",ROUND(C19,0),C19)</f>
        <v>29402</v>
      </c>
      <c r="D102" s="2582">
        <f ca="1">IF(D32="楼面单价",ROUND(D19,0),D19)</f>
        <v>15069</v>
      </c>
      <c r="E102" s="3690"/>
      <c r="F102" s="3691"/>
      <c r="G102" s="1823" t="s">
        <v>1430</v>
      </c>
      <c r="H102" s="2551">
        <f ca="1">I118</f>
        <v>6785</v>
      </c>
      <c r="I102" s="128"/>
    </row>
    <row r="103" spans="1:35" ht="42.75" customHeight="1">
      <c r="A103" s="3722"/>
      <c r="B103" s="2580" t="s">
        <v>1430</v>
      </c>
      <c r="C103" s="2583">
        <f ca="1">C20</f>
        <v>9590</v>
      </c>
      <c r="D103" s="2584">
        <f ca="1">D20</f>
        <v>4915</v>
      </c>
      <c r="E103" s="3683" t="s">
        <v>1431</v>
      </c>
      <c r="F103" s="3684"/>
      <c r="G103" s="1824" t="s">
        <v>1432</v>
      </c>
      <c r="H103" s="2591">
        <f>IF(D36="正常操作",H104+H105+H106,H105+H106)</f>
        <v>0</v>
      </c>
      <c r="I103" s="128"/>
    </row>
    <row r="104" spans="1:35" ht="18.75" customHeight="1">
      <c r="A104" s="3722" t="s">
        <v>1433</v>
      </c>
      <c r="B104" s="2585" t="s">
        <v>1428</v>
      </c>
      <c r="C104" s="2586">
        <f ca="1">H118</f>
        <v>20802</v>
      </c>
      <c r="D104" s="2587"/>
      <c r="E104" s="1670" t="s">
        <v>1434</v>
      </c>
      <c r="F104" s="1662"/>
      <c r="G104" s="1824" t="s">
        <v>1432</v>
      </c>
      <c r="H104" s="2592">
        <f>IF(D36="同一抵押权人同一抵押物续贷",C36&amp;"（续贷，未扣减，详见特别提示）",C36)</f>
        <v>0</v>
      </c>
      <c r="I104" s="128"/>
    </row>
    <row r="105" spans="1:35" ht="18.75" customHeight="1" thickBot="1">
      <c r="A105" s="3732"/>
      <c r="B105" s="2588" t="s">
        <v>1430</v>
      </c>
      <c r="C105" s="2589">
        <f ca="1">I118</f>
        <v>6785</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3" t="str">
        <f>IF(项目基本情况!E8="已注销","——","3.房地产抵押价值")</f>
        <v>3.房地产抵押价值</v>
      </c>
      <c r="F107" s="3691"/>
      <c r="G107" s="1823" t="s">
        <v>1428</v>
      </c>
      <c r="H107" s="2591">
        <f ca="1">IF(E107="——","——",H101-H103)</f>
        <v>20802</v>
      </c>
      <c r="I107" s="128"/>
    </row>
    <row r="108" spans="1:35" ht="18.75" customHeight="1">
      <c r="A108" s="128"/>
      <c r="B108" s="128"/>
      <c r="C108" s="128"/>
      <c r="D108" s="128"/>
      <c r="E108" s="3723"/>
      <c r="F108" s="3691"/>
      <c r="G108" s="1823" t="s">
        <v>1430</v>
      </c>
      <c r="H108" s="2551">
        <f ca="1">IF(H107=H101,H102,ROUND(H107*10000/'数据-汇总表'!E3,0))</f>
        <v>6785</v>
      </c>
      <c r="I108" s="128"/>
    </row>
    <row r="109" spans="1:35" ht="18.75" customHeight="1">
      <c r="A109" s="128"/>
      <c r="B109" s="128"/>
      <c r="C109" s="128"/>
      <c r="D109" s="128"/>
      <c r="E109" s="3723" t="str">
        <f>IF(项目基本情况!E8="已注销及未注销","4.抵押担保权已注销时的房地产抵押价值",IF(项目基本情况!E8="已注销","3.抵押担保权已注销时的房地产抵押价值","——"))</f>
        <v>——</v>
      </c>
      <c r="F109" s="3691"/>
      <c r="G109" s="1823" t="s">
        <v>1428</v>
      </c>
      <c r="H109" s="2594" t="str">
        <f>IF(E109="——","——",H101-H105-H106)</f>
        <v>——</v>
      </c>
      <c r="I109" s="128"/>
    </row>
    <row r="110" spans="1:35" ht="18.75" customHeight="1">
      <c r="A110" s="128"/>
      <c r="B110" s="128"/>
      <c r="C110" s="128"/>
      <c r="D110" s="128"/>
      <c r="E110" s="3723"/>
      <c r="F110" s="3691"/>
      <c r="G110" s="1823" t="s">
        <v>1430</v>
      </c>
      <c r="H110" s="2551" t="str">
        <f>IF(H109="——","——",ROUND(H109*10000/'数据-汇总表'!E3,0))</f>
        <v>——</v>
      </c>
      <c r="I110" s="128"/>
    </row>
    <row r="111" spans="1:35" ht="18.75" customHeight="1">
      <c r="A111" s="128"/>
      <c r="B111" s="128"/>
      <c r="C111" s="128"/>
      <c r="D111" s="128"/>
      <c r="E111" s="3724" t="str">
        <f>IF(项目基本情况!E9="抵押净值",IF(OR(项目基本情况!E8="已注销",项目基本情况!E8="房地产抵押价值"),"4.抵押净值","5.抵押净值"),"——")</f>
        <v>——</v>
      </c>
      <c r="F111" s="3710"/>
      <c r="G111" s="1823" t="s">
        <v>1428</v>
      </c>
      <c r="H111" s="2591" t="str">
        <f>IF(E111="——","——",N59)</f>
        <v>——</v>
      </c>
      <c r="I111" s="128"/>
    </row>
    <row r="112" spans="1:35" ht="18.75" customHeight="1" thickBot="1">
      <c r="A112" s="128"/>
      <c r="B112" s="128"/>
      <c r="C112" s="128"/>
      <c r="D112" s="128"/>
      <c r="E112" s="3725"/>
      <c r="F112" s="3726"/>
      <c r="G112" s="1826" t="s">
        <v>1430</v>
      </c>
      <c r="H112" s="2595" t="str">
        <f>IF(E111="——","——",N61)</f>
        <v>——</v>
      </c>
      <c r="I112" s="128"/>
    </row>
    <row r="113" spans="1:27" ht="18.75" customHeight="1">
      <c r="A113" s="128"/>
      <c r="B113" s="128"/>
      <c r="C113" s="128"/>
      <c r="D113" s="128"/>
      <c r="E113" s="3733" t="s">
        <v>1436</v>
      </c>
      <c r="F113" s="3733"/>
      <c r="G113" s="3733"/>
      <c r="H113" s="3733"/>
      <c r="I113" s="128"/>
    </row>
    <row r="114" spans="1:27" ht="3.75" customHeight="1">
      <c r="A114" s="1743"/>
      <c r="B114" s="1743"/>
      <c r="C114" s="1743"/>
      <c r="D114" s="1743"/>
      <c r="E114" s="1805"/>
      <c r="F114" s="1805"/>
      <c r="G114" s="1805"/>
      <c r="H114" s="1805"/>
      <c r="I114" s="1743"/>
    </row>
    <row r="115" spans="1:27" ht="18.75" customHeight="1">
      <c r="A115" s="3741" t="s">
        <v>1438</v>
      </c>
      <c r="B115" s="3742"/>
      <c r="C115" s="3742"/>
      <c r="D115" s="3742"/>
      <c r="E115" s="3742"/>
      <c r="F115" s="3742"/>
      <c r="G115" s="3742"/>
      <c r="H115" s="3742"/>
      <c r="I115" s="3743"/>
    </row>
    <row r="116" spans="1:27" ht="27" customHeight="1">
      <c r="A116" s="3698" t="s">
        <v>1439</v>
      </c>
      <c r="B116" s="3702" t="s">
        <v>1440</v>
      </c>
      <c r="C116" s="3702" t="s">
        <v>1441</v>
      </c>
      <c r="D116" s="3708" t="s">
        <v>1442</v>
      </c>
      <c r="E116" s="3709"/>
      <c r="F116" s="3740" t="s">
        <v>1443</v>
      </c>
      <c r="G116" s="3740"/>
      <c r="H116" s="3698" t="s">
        <v>1444</v>
      </c>
      <c r="I116" s="3698"/>
    </row>
    <row r="117" spans="1:27" ht="18.75" customHeight="1">
      <c r="A117" s="3698"/>
      <c r="B117" s="3703"/>
      <c r="C117" s="3703"/>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30659.07</v>
      </c>
      <c r="C118" s="3452">
        <f>M19</f>
        <v>3874.55</v>
      </c>
      <c r="D118" s="3452">
        <f ca="1">ROUND(IF(D32="总价",C34,E118*B118/10000),0)</f>
        <v>7572</v>
      </c>
      <c r="E118" s="3452">
        <f ca="1">ROUND(IF(C33="自定义",IF(D32="楼面单价",C34,D118*10000/B118),I118-G118),0)</f>
        <v>2470</v>
      </c>
      <c r="F118" s="3452">
        <f ca="1">ROUND(IF(D32="总价",C35,G118*B118/10000),0)</f>
        <v>13230</v>
      </c>
      <c r="G118" s="3452">
        <f ca="1">ROUND(IF(D32="楼面单价",C35,F118*10000/B118),0)</f>
        <v>4315</v>
      </c>
      <c r="H118" s="3452">
        <f ca="1">ROUND(IF(D32="总价",C32,I118*B118/10000),0)</f>
        <v>20802</v>
      </c>
      <c r="I118" s="3452">
        <f ca="1">ROUND(IF(D32="楼面单价",C32,H118*10000/B118),0)</f>
        <v>6785</v>
      </c>
    </row>
    <row r="119" spans="1:27" ht="18.75" customHeight="1">
      <c r="A119" s="3698" t="s">
        <v>1448</v>
      </c>
      <c r="B119" s="3698"/>
      <c r="C119" s="3698"/>
      <c r="D119" s="3704" t="str">
        <f ca="1">NUMBERSTRING(INT(D118*10000),2)&amp;"元整"</f>
        <v>柒仟伍佰柒拾贰万元整</v>
      </c>
      <c r="E119" s="3705"/>
      <c r="F119" s="3704" t="str">
        <f ca="1">NUMBERSTRING(INT(F118*10000),2)&amp;"元整"</f>
        <v>壹亿叁仟贰佰叁拾万元整</v>
      </c>
      <c r="G119" s="3705"/>
      <c r="H119" s="3704" t="str">
        <f ca="1">NUMBERSTRING(INT(H118*10000),2)&amp;"元整"</f>
        <v>贰亿零捌佰零贰万元整</v>
      </c>
      <c r="I119" s="3705"/>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04" t="s">
        <v>1448</v>
      </c>
      <c r="B121" s="3706"/>
      <c r="C121" s="3705"/>
      <c r="D121" s="3704" t="str">
        <f>IF(D120=0,"零元整",NUMBERSTRING(INT(D120*10000),2)&amp;"元整")</f>
        <v>零元整</v>
      </c>
      <c r="E121" s="3706"/>
      <c r="F121" s="3706"/>
      <c r="G121" s="3706"/>
      <c r="H121" s="3706"/>
      <c r="I121" s="3705"/>
      <c r="AA121" s="723"/>
    </row>
    <row r="122" spans="1:27" ht="18.75" customHeight="1">
      <c r="A122" s="3710" t="str">
        <f>IF(项目基本情况!B9="房地产市场价值","",MID(E107,3,LEN(E107)-2))</f>
        <v>房地产抵押价值</v>
      </c>
      <c r="B122" s="3710"/>
      <c r="C122" s="3710"/>
      <c r="D122" s="3699">
        <f ca="1">H107</f>
        <v>20802</v>
      </c>
      <c r="E122" s="3700"/>
      <c r="F122" s="3700"/>
      <c r="G122" s="3700"/>
      <c r="H122" s="3700"/>
      <c r="I122" s="3701"/>
      <c r="AA122" s="723"/>
    </row>
    <row r="123" spans="1:27" ht="18.75" customHeight="1">
      <c r="A123" s="3698" t="s">
        <v>1448</v>
      </c>
      <c r="B123" s="3698"/>
      <c r="C123" s="3698"/>
      <c r="D123" s="3704" t="str">
        <f ca="1">NUMBERSTRING(INT(D122*10000),2)&amp;"元整"</f>
        <v>贰亿零捌佰零贰万元整</v>
      </c>
      <c r="E123" s="3706"/>
      <c r="F123" s="3706"/>
      <c r="G123" s="3706"/>
      <c r="H123" s="3706"/>
      <c r="I123" s="3705"/>
      <c r="AA123" s="723"/>
    </row>
    <row r="124" spans="1:27" ht="18.75" customHeight="1">
      <c r="A124" s="3710" t="str">
        <f>IF(项目基本情况!B9="房地产市场价值","",MID(E109,3,LEN(E109)-2))</f>
        <v/>
      </c>
      <c r="B124" s="3710"/>
      <c r="C124" s="3710"/>
      <c r="D124" s="3699" t="str">
        <f>H109</f>
        <v>——</v>
      </c>
      <c r="E124" s="3700"/>
      <c r="F124" s="3700"/>
      <c r="G124" s="3700"/>
      <c r="H124" s="3700"/>
      <c r="I124" s="3701"/>
      <c r="AA124" s="723"/>
    </row>
    <row r="125" spans="1:27" ht="18.75" customHeight="1">
      <c r="A125" s="3698" t="s">
        <v>1448</v>
      </c>
      <c r="B125" s="3698"/>
      <c r="C125" s="3698"/>
      <c r="D125" s="3704" t="e">
        <f>NUMBERSTRING(INT(D124*10000),2)&amp;"元整"</f>
        <v>#VALUE!</v>
      </c>
      <c r="E125" s="3706"/>
      <c r="F125" s="3706"/>
      <c r="G125" s="3706"/>
      <c r="H125" s="3706"/>
      <c r="I125" s="3705"/>
      <c r="AA125" s="723"/>
    </row>
    <row r="126" spans="1:27" ht="18.75" customHeight="1">
      <c r="A126" s="3710" t="str">
        <f>IF(项目基本情况!B9="房地产市场价值","",MID(E111,3,LEN(E111)-2))</f>
        <v/>
      </c>
      <c r="B126" s="3710"/>
      <c r="C126" s="3710"/>
      <c r="D126" s="3699" t="str">
        <f>H111</f>
        <v>——</v>
      </c>
      <c r="E126" s="3700"/>
      <c r="F126" s="3700"/>
      <c r="G126" s="3700"/>
      <c r="H126" s="3700"/>
      <c r="I126" s="3701"/>
      <c r="AA126" s="723"/>
    </row>
    <row r="127" spans="1:27" ht="18.75" customHeight="1">
      <c r="A127" s="3698" t="s">
        <v>1448</v>
      </c>
      <c r="B127" s="3698"/>
      <c r="C127" s="3698"/>
      <c r="D127" s="3704" t="e">
        <f>NUMBERSTRING(INT(D126*10000),2)&amp;"元整"</f>
        <v>#VALUE!</v>
      </c>
      <c r="E127" s="3706"/>
      <c r="F127" s="3706"/>
      <c r="G127" s="3706"/>
      <c r="H127" s="3706"/>
      <c r="I127" s="3705"/>
      <c r="AA127" s="723"/>
    </row>
    <row r="128" spans="1:27" ht="21.75" customHeight="1">
      <c r="A128" s="3707" t="s">
        <v>1449</v>
      </c>
      <c r="B128" s="3707"/>
      <c r="C128" s="3707"/>
      <c r="D128" s="3707"/>
      <c r="E128" s="3707"/>
      <c r="F128" s="3707"/>
      <c r="G128" s="3707"/>
      <c r="H128" s="3707"/>
      <c r="I128" s="3707"/>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1457</v>
      </c>
      <c r="B1" s="1466" t="s">
        <v>3401</v>
      </c>
      <c r="C1" s="197"/>
      <c r="D1" s="197"/>
      <c r="E1" s="197"/>
      <c r="F1" s="197"/>
      <c r="G1" s="1122">
        <f>MATCH(B1,'数据-取费表'!A6:A16,0)+5</f>
        <v>8</v>
      </c>
    </row>
    <row r="2" spans="1:9" s="199" customFormat="1" ht="18" customHeight="1">
      <c r="A2" s="200" t="s">
        <v>1458</v>
      </c>
      <c r="B2" s="201">
        <f ca="1">IF(D2="——",C52,C52-E2)</f>
        <v>29402</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9590</v>
      </c>
      <c r="C3" s="198" t="s">
        <v>1461</v>
      </c>
      <c r="D3" s="198"/>
      <c r="E3" s="198"/>
      <c r="F3" s="198"/>
      <c r="G3" s="198"/>
    </row>
    <row r="4" spans="1:9" s="207" customFormat="1" ht="16.2">
      <c r="A4" s="204" t="s">
        <v>1462</v>
      </c>
      <c r="B4" s="205"/>
      <c r="C4" s="205"/>
      <c r="D4" s="205"/>
      <c r="E4" s="205"/>
      <c r="F4" s="205"/>
      <c r="G4" s="206"/>
    </row>
    <row r="5" spans="1:9" s="213" customFormat="1" ht="13.5" customHeight="1">
      <c r="A5" s="254" t="s">
        <v>337</v>
      </c>
      <c r="B5" s="209" t="s">
        <v>1464</v>
      </c>
      <c r="C5" s="210">
        <f ca="1">C6+C7+C8</f>
        <v>7715</v>
      </c>
      <c r="D5" s="210" t="s">
        <v>1465</v>
      </c>
      <c r="E5" s="211" t="s">
        <v>1466</v>
      </c>
      <c r="F5" s="211" t="s">
        <v>1467</v>
      </c>
      <c r="G5" s="212"/>
    </row>
    <row r="6" spans="1:9" s="213" customFormat="1" ht="13.5" customHeight="1">
      <c r="A6" s="774" t="s">
        <v>1468</v>
      </c>
      <c r="B6" s="214" t="s">
        <v>1469</v>
      </c>
      <c r="C6" s="215">
        <f>基准地价修正!E42</f>
        <v>6892</v>
      </c>
      <c r="D6" s="216"/>
      <c r="E6" s="217"/>
      <c r="F6" s="217"/>
      <c r="G6" s="218"/>
    </row>
    <row r="7" spans="1:9" s="213" customFormat="1" ht="13.5" customHeight="1">
      <c r="A7" s="774" t="s">
        <v>347</v>
      </c>
      <c r="B7" s="214" t="s">
        <v>1471</v>
      </c>
      <c r="C7" s="219">
        <f>ROUND(C6*F7,0)</f>
        <v>210</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613</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613</v>
      </c>
      <c r="D10" s="841">
        <f ca="1">IF(B1="",'数据-汇总表'!E6,IF(INDIRECT("'数据-取费表'!c"&amp;$G$1)="住宅",INDIRECT("'数据-取费表'!s"&amp;$G$1),INDIRECT("'数据-取费表'!k"&amp;$G$1)+INDIRECT("'数据-取费表'!s"&amp;$G$1)))</f>
        <v>30659.07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30659.07</v>
      </c>
      <c r="E19" s="210">
        <f>'数据-取费表'!B31</f>
        <v>200</v>
      </c>
      <c r="F19" s="230"/>
      <c r="G19" s="1852" t="s">
        <v>3435</v>
      </c>
    </row>
    <row r="20" spans="1:7" s="213" customFormat="1" ht="13.5" customHeight="1">
      <c r="A20" s="254" t="s">
        <v>1489</v>
      </c>
      <c r="B20" s="209" t="s">
        <v>1490</v>
      </c>
      <c r="C20" s="231">
        <f ca="1">ROUND((C5+C19)*F20,0)</f>
        <v>231</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1016</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1001</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15</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6.4">
      <c r="A27" s="254" t="s">
        <v>1508</v>
      </c>
      <c r="B27" s="243" t="s">
        <v>1509</v>
      </c>
      <c r="C27" s="244">
        <f ca="1">C28</f>
        <v>795</v>
      </c>
      <c r="D27" s="234">
        <f ca="1">C29</f>
        <v>3.0000000000000001E-3</v>
      </c>
      <c r="E27" s="235" t="s">
        <v>1510</v>
      </c>
      <c r="F27" s="245">
        <f ca="1">IF(B1="",'数据-取费表'!Q16,INDIRECT("'数据-取费表'!q"&amp;$G$1))</f>
        <v>0.1</v>
      </c>
      <c r="G27" s="246" t="s">
        <v>1511</v>
      </c>
    </row>
    <row r="28" spans="1:7" s="213" customFormat="1" ht="13.5" customHeight="1">
      <c r="A28" s="776" t="s">
        <v>346</v>
      </c>
      <c r="B28" s="247" t="s">
        <v>1512</v>
      </c>
      <c r="C28" s="248">
        <f ca="1">ROUND((C5+C19+C20)*F27*'数据-取费表'!B21/'数据-取费表'!B20,0)</f>
        <v>795</v>
      </c>
      <c r="D28" s="234"/>
      <c r="E28" s="235"/>
      <c r="F28" s="245"/>
      <c r="G28" s="246"/>
    </row>
    <row r="29" spans="1:7" s="213" customFormat="1" ht="13.5" customHeight="1">
      <c r="A29" s="776" t="s">
        <v>347</v>
      </c>
      <c r="B29" s="247" t="s">
        <v>1513</v>
      </c>
      <c r="C29" s="237">
        <f ca="1">ROUND(C21*F27*'数据-取费表'!B21/'数据-取费表'!B20,4)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10701</v>
      </c>
      <c r="D31" s="229"/>
      <c r="E31" s="210"/>
      <c r="F31" s="249"/>
      <c r="G31" s="233" t="s">
        <v>1518</v>
      </c>
    </row>
    <row r="32" spans="1:7" s="207" customFormat="1" ht="16.2">
      <c r="A32" s="251" t="s">
        <v>1519</v>
      </c>
      <c r="B32" s="252"/>
      <c r="C32" s="252"/>
      <c r="D32" s="252"/>
      <c r="E32" s="252"/>
      <c r="F32" s="252"/>
      <c r="G32" s="253"/>
    </row>
    <row r="33" spans="1:7" s="213" customFormat="1" ht="13.5" customHeight="1">
      <c r="A33" s="254" t="s">
        <v>337</v>
      </c>
      <c r="B33" s="209" t="s">
        <v>1520</v>
      </c>
      <c r="C33" s="255">
        <f ca="1">SUM(C34:C38)</f>
        <v>15307</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13797</v>
      </c>
      <c r="D34" s="216"/>
      <c r="E34" s="219"/>
      <c r="F34" s="256">
        <f ca="1">IF('数据-取费表'!B24=0,1,IF(B1="",'数据-取费表'!N16,INDIRECT("'数据-取费表'!n"&amp;$G$1)))</f>
        <v>1</v>
      </c>
      <c r="G34" s="218" t="s">
        <v>1522</v>
      </c>
    </row>
    <row r="35" spans="1:7" ht="13.5" customHeight="1">
      <c r="A35" s="776" t="s">
        <v>351</v>
      </c>
      <c r="B35" s="214" t="s">
        <v>1523</v>
      </c>
      <c r="C35" s="219">
        <f ca="1">ROUND(C34*F35,0)</f>
        <v>690</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613</v>
      </c>
      <c r="D37" s="216">
        <f ca="1">D19</f>
        <v>30659.07</v>
      </c>
      <c r="E37" s="248">
        <f>'数据-取费表'!B35</f>
        <v>200</v>
      </c>
      <c r="F37" s="258"/>
      <c r="G37" s="260" t="s">
        <v>1528</v>
      </c>
    </row>
    <row r="38" spans="1:7" ht="13.5" customHeight="1">
      <c r="A38" s="776" t="s">
        <v>354</v>
      </c>
      <c r="B38" s="214" t="s">
        <v>1529</v>
      </c>
      <c r="C38" s="219">
        <f ca="1">ROUND(C34*F38,0)</f>
        <v>207</v>
      </c>
      <c r="D38" s="219"/>
      <c r="E38" s="219"/>
      <c r="F38" s="258">
        <f>'数据-取费表'!B36</f>
        <v>1.4999999999999999E-2</v>
      </c>
      <c r="G38" s="218" t="s">
        <v>1524</v>
      </c>
    </row>
    <row r="39" spans="1:7" s="213" customFormat="1" ht="13.5" customHeight="1">
      <c r="A39" s="254" t="s">
        <v>1487</v>
      </c>
      <c r="B39" s="209" t="s">
        <v>1490</v>
      </c>
      <c r="C39" s="231">
        <f ca="1">ROUND(C33*F20,0)</f>
        <v>459</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992</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963</v>
      </c>
      <c r="D42" s="237"/>
      <c r="E42" s="237"/>
      <c r="F42" s="238"/>
      <c r="G42" s="3796" t="s">
        <v>1540</v>
      </c>
    </row>
    <row r="43" spans="1:7" ht="13.5" customHeight="1">
      <c r="A43" s="776" t="s">
        <v>347</v>
      </c>
      <c r="B43" s="214" t="s">
        <v>1541</v>
      </c>
      <c r="C43" s="237">
        <f ca="1">ROUND(IF('数据-取费表'!B22&lt;=1,C39*F22*'数据-取费表'!B21/2,C39*(POWER((1+F22),'数据-取费表'!B21/2)-1)),0)</f>
        <v>29</v>
      </c>
      <c r="D43" s="237"/>
      <c r="E43" s="237"/>
      <c r="F43" s="238"/>
      <c r="G43" s="3797"/>
    </row>
    <row r="44" spans="1:7" ht="13.5" customHeight="1">
      <c r="A44" s="776" t="s">
        <v>348</v>
      </c>
      <c r="B44" s="214" t="s">
        <v>1505</v>
      </c>
      <c r="C44" s="237">
        <f ca="1">ROUND(IF('数据-取费表'!B22&lt;=1,C40*F22*'数据-取费表'!B21/2,C40*(POWER((1+F22),'数据-取费表'!B21/2)-1)),4)</f>
        <v>1.9E-3</v>
      </c>
      <c r="D44" s="237"/>
      <c r="E44" s="237"/>
      <c r="F44" s="238"/>
      <c r="G44" s="3798"/>
    </row>
    <row r="45" spans="1:7" s="213" customFormat="1" ht="13.5" customHeight="1">
      <c r="A45" s="254" t="s">
        <v>1496</v>
      </c>
      <c r="B45" s="243" t="s">
        <v>1509</v>
      </c>
      <c r="C45" s="244">
        <f ca="1">C46</f>
        <v>1577</v>
      </c>
      <c r="D45" s="234">
        <f ca="1">C47</f>
        <v>3.0000000000000001E-3</v>
      </c>
      <c r="E45" s="235" t="s">
        <v>1535</v>
      </c>
      <c r="F45" s="245">
        <f ca="1">F27</f>
        <v>0.1</v>
      </c>
      <c r="G45" s="246" t="s">
        <v>1544</v>
      </c>
    </row>
    <row r="46" spans="1:7" s="213" customFormat="1" ht="13.5" customHeight="1">
      <c r="A46" s="776" t="s">
        <v>346</v>
      </c>
      <c r="B46" s="247" t="s">
        <v>1545</v>
      </c>
      <c r="C46" s="248">
        <f ca="1">ROUND((C33+C39)*F27,0)</f>
        <v>1577</v>
      </c>
      <c r="D46" s="262"/>
      <c r="E46" s="235"/>
      <c r="F46" s="245"/>
      <c r="G46" s="246"/>
    </row>
    <row r="47" spans="1:7" s="213" customFormat="1" ht="13.5" customHeight="1">
      <c r="A47" s="776" t="s">
        <v>347</v>
      </c>
      <c r="B47" s="247" t="s">
        <v>1546</v>
      </c>
      <c r="C47" s="237">
        <f ca="1">ROUND(C40*F27,4)</f>
        <v>3.0000000000000001E-3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20109</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18701</v>
      </c>
      <c r="D51" s="231"/>
      <c r="E51" s="231"/>
      <c r="F51" s="263"/>
      <c r="G51" s="233" t="s">
        <v>1556</v>
      </c>
    </row>
    <row r="52" spans="1:7" s="207" customFormat="1" ht="16.8" thickBot="1">
      <c r="A52" s="264" t="s">
        <v>1557</v>
      </c>
      <c r="B52" s="265"/>
      <c r="C52" s="266">
        <f ca="1">C31+C51</f>
        <v>29402</v>
      </c>
      <c r="D52" s="265"/>
      <c r="E52" s="265"/>
      <c r="F52" s="265"/>
      <c r="G52" s="267"/>
    </row>
    <row r="55" spans="1:7" ht="15">
      <c r="B55" s="269" t="s">
        <v>1558</v>
      </c>
      <c r="C55" s="270"/>
    </row>
    <row r="56" spans="1:7">
      <c r="B56" s="272" t="s">
        <v>798</v>
      </c>
      <c r="C56" s="274">
        <f ca="1">1-C57</f>
        <v>0.36399999999999999</v>
      </c>
    </row>
    <row r="57" spans="1:7">
      <c r="B57" s="272" t="s">
        <v>799</v>
      </c>
      <c r="C57" s="273">
        <f ca="1">ROUND(C51/C52,3)</f>
        <v>0.63600000000000001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D25" sqref="D25"/>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4" customWidth="1"/>
    <col min="12" max="12" width="16.33203125" style="257" customWidth="1"/>
    <col min="13" max="13" width="13" style="257"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7"/>
  </cols>
  <sheetData>
    <row r="1" spans="1:37" s="292" customFormat="1" ht="21.6">
      <c r="A1" s="1371" t="s">
        <v>873</v>
      </c>
      <c r="B1" s="711"/>
      <c r="C1" s="1375" t="s">
        <v>3401</v>
      </c>
      <c r="D1" s="1358" t="s">
        <v>43</v>
      </c>
      <c r="E1" s="1359" t="s">
        <v>674</v>
      </c>
      <c r="F1" s="1058">
        <f ca="1">J53</f>
        <v>37.590000000000003</v>
      </c>
      <c r="G1" s="1374">
        <f>MATCH(C1,'数据-取费表'!A6:A16,0)+5</f>
        <v>8</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15069</v>
      </c>
      <c r="C2" s="1383" t="s">
        <v>801</v>
      </c>
      <c r="D2" s="1383"/>
      <c r="E2" s="1384"/>
      <c r="F2" s="1385"/>
      <c r="G2" s="2702"/>
      <c r="H2" s="2691"/>
      <c r="I2" s="2691"/>
      <c r="J2" s="2691"/>
      <c r="K2" s="2692"/>
      <c r="L2" s="2691"/>
      <c r="M2" s="2691"/>
    </row>
    <row r="3" spans="1:37" ht="18" customHeight="1" thickBot="1">
      <c r="A3" s="1386" t="s">
        <v>802</v>
      </c>
      <c r="B3" s="1387">
        <f ca="1">IF(ISERROR(B2*10000/F43),0,ROUND(B2*10000/F43,0))</f>
        <v>4915</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1007</v>
      </c>
      <c r="D5" s="1360" t="s">
        <v>689</v>
      </c>
      <c r="E5" s="1067"/>
      <c r="F5" s="1068"/>
      <c r="G5" s="1380"/>
      <c r="H5" s="298">
        <v>1</v>
      </c>
      <c r="I5" s="299" t="s">
        <v>688</v>
      </c>
      <c r="J5" s="1066">
        <f ca="1">J6+J10+J12</f>
        <v>0</v>
      </c>
      <c r="K5" s="1360" t="s">
        <v>689</v>
      </c>
      <c r="L5" s="1067"/>
      <c r="M5" s="1068"/>
    </row>
    <row r="6" spans="1:37" ht="18" customHeight="1">
      <c r="A6" s="1065" t="s">
        <v>398</v>
      </c>
      <c r="B6" s="3801" t="s">
        <v>690</v>
      </c>
      <c r="C6" s="1070">
        <f ca="1">ROUND(F6*F8*F7*(1-F9)/10000,0)</f>
        <v>1007</v>
      </c>
      <c r="D6" s="154" t="s">
        <v>2105</v>
      </c>
      <c r="E6" s="301" t="s">
        <v>692</v>
      </c>
      <c r="F6" s="302">
        <f ca="1">INDIRECT("'数据-取费表'!u"&amp;$G$1)</f>
        <v>1</v>
      </c>
      <c r="G6" s="1380"/>
      <c r="H6" s="1065" t="s">
        <v>398</v>
      </c>
      <c r="I6" s="3801" t="s">
        <v>690</v>
      </c>
      <c r="J6" s="300">
        <f ca="1">ROUND(M6*M8*M7*(1-M9)/10000,0)</f>
        <v>0</v>
      </c>
      <c r="K6" s="154" t="s">
        <v>2104</v>
      </c>
      <c r="L6" s="301" t="s">
        <v>692</v>
      </c>
      <c r="M6" s="302">
        <f ca="1">INDIRECT("'数据-取费表'!z"&amp;$G$1)</f>
        <v>0</v>
      </c>
    </row>
    <row r="7" spans="1:37" ht="18" customHeight="1">
      <c r="A7" s="1069"/>
      <c r="B7" s="3802"/>
      <c r="C7" s="1071"/>
      <c r="D7" s="306"/>
      <c r="E7" s="3467" t="s">
        <v>693</v>
      </c>
      <c r="F7" s="302">
        <f ca="1">IF(INDIRECT("'数据-取费表'!ah"&amp;$G$1)="",INDIRECT("'数据-取费表'!k"&amp;$G$1),INDIRECT("'数据-取费表'!ah"&amp;$G$1))</f>
        <v>30659.07</v>
      </c>
      <c r="G7" s="1380"/>
      <c r="H7" s="303"/>
      <c r="I7" s="3802"/>
      <c r="J7" s="305"/>
      <c r="K7" s="306"/>
      <c r="L7" s="301" t="s">
        <v>693</v>
      </c>
      <c r="M7" s="302">
        <f ca="1">F7</f>
        <v>30659.07</v>
      </c>
    </row>
    <row r="8" spans="1:37" ht="18" customHeight="1">
      <c r="A8" s="303"/>
      <c r="B8" s="3802"/>
      <c r="C8" s="305"/>
      <c r="D8" s="306"/>
      <c r="E8" s="301" t="s">
        <v>694</v>
      </c>
      <c r="F8" s="302">
        <f ca="1">INDIRECT("'数据-取费表'!ai"&amp;$G$1)</f>
        <v>365</v>
      </c>
      <c r="G8" s="1380"/>
      <c r="H8" s="303"/>
      <c r="I8" s="3802"/>
      <c r="J8" s="305"/>
      <c r="K8" s="306"/>
      <c r="L8" s="301" t="s">
        <v>694</v>
      </c>
      <c r="M8" s="302">
        <f ca="1">INDIRECT("'数据-取费表'!ai"&amp;$G$1)</f>
        <v>365</v>
      </c>
    </row>
    <row r="9" spans="1:37" ht="18" customHeight="1">
      <c r="A9" s="303"/>
      <c r="B9" s="3803"/>
      <c r="C9" s="305"/>
      <c r="D9" s="306"/>
      <c r="E9" s="301" t="s">
        <v>695</v>
      </c>
      <c r="F9" s="311">
        <f ca="1">INDIRECT("'数据-取费表'!w"&amp;$G$1)</f>
        <v>0.1</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18701</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13797</v>
      </c>
      <c r="D14" s="3456" t="s">
        <v>704</v>
      </c>
      <c r="E14" s="3449"/>
      <c r="F14" s="318"/>
      <c r="G14" s="1380"/>
      <c r="H14" s="978" t="s">
        <v>398</v>
      </c>
      <c r="I14" s="301" t="s">
        <v>705</v>
      </c>
      <c r="J14" s="21">
        <f ca="1">C29</f>
        <v>20109</v>
      </c>
      <c r="K14" s="3465"/>
      <c r="L14" s="803"/>
      <c r="M14" s="804"/>
    </row>
    <row r="15" spans="1:37" s="1393" customFormat="1" ht="18" customHeight="1" thickBot="1">
      <c r="A15" s="978" t="s">
        <v>399</v>
      </c>
      <c r="B15" s="301" t="s">
        <v>706</v>
      </c>
      <c r="C15" s="21">
        <f ca="1">ROUND(C14*F15,0)</f>
        <v>690</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102</v>
      </c>
      <c r="K16" s="1083" t="s">
        <v>711</v>
      </c>
      <c r="L16" s="3459"/>
      <c r="M16" s="1068"/>
    </row>
    <row r="17" spans="1:37" s="1393" customFormat="1" ht="18" customHeight="1">
      <c r="A17" s="978" t="s">
        <v>677</v>
      </c>
      <c r="B17" s="301" t="s">
        <v>712</v>
      </c>
      <c r="C17" s="21">
        <f ca="1">ROUND(F17*(F43+INDIRECT("'数据-取费表'!S"&amp;$G$1))/10000,0)</f>
        <v>613</v>
      </c>
      <c r="D17" s="301" t="s">
        <v>713</v>
      </c>
      <c r="E17" s="301" t="s">
        <v>714</v>
      </c>
      <c r="F17" s="23">
        <f>'数据-取费表'!B35</f>
        <v>200</v>
      </c>
      <c r="G17" s="1392"/>
      <c r="H17" s="978" t="s">
        <v>398</v>
      </c>
      <c r="I17" s="301" t="s">
        <v>715</v>
      </c>
      <c r="J17" s="2312">
        <f ca="1">ROUND(IF(AND(项目基本情况!B11="自然人",项目基本情况!B10="北京市"),J6*M17/(1+'数据-取费表'!C42),J18+J19+J20),2)</f>
        <v>1.1599999999999999</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207</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15307</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459</v>
      </c>
      <c r="D20" s="2424" t="s">
        <v>725</v>
      </c>
      <c r="E20" s="301" t="s">
        <v>708</v>
      </c>
      <c r="F20" s="321">
        <f>'数据-取费表'!B37</f>
        <v>0.03</v>
      </c>
      <c r="G20" s="1392"/>
      <c r="H20" s="978" t="s">
        <v>676</v>
      </c>
      <c r="I20" s="154" t="s">
        <v>726</v>
      </c>
      <c r="J20" s="22">
        <f ca="1">ROUND(M20*M21/10000,2)</f>
        <v>1.1599999999999999</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3874.55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100.55</v>
      </c>
      <c r="K22" s="3454" t="s">
        <v>735</v>
      </c>
      <c r="L22" s="301" t="s">
        <v>708</v>
      </c>
      <c r="M22" s="327">
        <f ca="1">INDIRECT("'数据-取费表'!Ak"&amp;$G$1)</f>
        <v>5.0000000000000001E-3</v>
      </c>
    </row>
    <row r="23" spans="1:37" s="1393" customFormat="1" ht="18" customHeight="1">
      <c r="A23" s="978" t="s">
        <v>397</v>
      </c>
      <c r="B23" s="301" t="s">
        <v>736</v>
      </c>
      <c r="C23" s="21">
        <f ca="1">IF('数据-取费表'!B22&lt;=1,ROUND(C19*F24*F23/2,0)+ROUND(C20*F24*F23/2,0),ROUND(C19*(POWER((1+F24),F23/2)-1),0)+ROUND(C20*(POWER((1+F24),F23/2)-1),0))</f>
        <v>992</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-102</v>
      </c>
      <c r="K25" s="1091" t="s">
        <v>749</v>
      </c>
      <c r="L25" s="1092"/>
      <c r="M25" s="1093"/>
    </row>
    <row r="26" spans="1:37">
      <c r="A26" s="978" t="s">
        <v>397</v>
      </c>
      <c r="B26" s="301" t="s">
        <v>750</v>
      </c>
      <c r="C26" s="21">
        <f ca="1">ROUND((C19+C20)*F26,0)</f>
        <v>1577</v>
      </c>
      <c r="D26" s="2424" t="s">
        <v>751</v>
      </c>
      <c r="E26" s="312" t="s">
        <v>752</v>
      </c>
      <c r="F26" s="311">
        <f ca="1">INDIRECT("'数据-取费表'!q"&amp;$G$1)</f>
        <v>0.1</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3.0000000000000001E-3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20109</v>
      </c>
      <c r="D29" s="1088"/>
      <c r="E29" s="1086"/>
      <c r="F29" s="1089"/>
      <c r="G29" s="1392"/>
      <c r="H29" s="333" t="s">
        <v>396</v>
      </c>
      <c r="I29" s="334" t="s">
        <v>764</v>
      </c>
      <c r="J29" s="335">
        <f ca="1">ROUND(J26/(1+F40)^F41,0)</f>
        <v>0</v>
      </c>
      <c r="K29" s="336" t="s">
        <v>765</v>
      </c>
      <c r="L29" s="337"/>
      <c r="M29" s="338">
        <f ca="1">INDIRECT("'数据-取费表'!k"&amp;$G$1)</f>
        <v>30659.07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299</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169.96</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53.71</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115.09</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1.1599999999999999</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3874.55</v>
      </c>
      <c r="G35" s="1380"/>
      <c r="H35" s="2693"/>
      <c r="I35" s="1394"/>
      <c r="J35" s="1395"/>
      <c r="K35" s="2697"/>
      <c r="L35" s="2696"/>
      <c r="M35" s="2696"/>
    </row>
    <row r="36" spans="1:18" ht="18" customHeight="1">
      <c r="A36" s="1098" t="s">
        <v>402</v>
      </c>
      <c r="B36" s="301" t="s">
        <v>734</v>
      </c>
      <c r="C36" s="21">
        <f ca="1">ROUND(C29*F36,2)</f>
        <v>100.55</v>
      </c>
      <c r="D36" s="3454" t="s">
        <v>767</v>
      </c>
      <c r="E36" s="301" t="s">
        <v>708</v>
      </c>
      <c r="F36" s="327">
        <f ca="1">INDIRECT("'数据-取费表'!Ak"&amp;$G$1)</f>
        <v>5.0000000000000001E-3</v>
      </c>
      <c r="G36" s="1380"/>
      <c r="H36" s="2696"/>
      <c r="I36" s="1394"/>
      <c r="J36" s="1395"/>
      <c r="K36" s="2540"/>
      <c r="L36" s="2696"/>
      <c r="M36" s="2696"/>
    </row>
    <row r="37" spans="1:18" ht="18" customHeight="1">
      <c r="A37" s="978" t="s">
        <v>437</v>
      </c>
      <c r="B37" s="301" t="s">
        <v>738</v>
      </c>
      <c r="C37" s="21">
        <f ca="1">ROUND(C13*F37,2)</f>
        <v>18.7</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10.07</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708</v>
      </c>
      <c r="D39" s="1091" t="s">
        <v>769</v>
      </c>
      <c r="E39" s="1092"/>
      <c r="F39" s="1093"/>
      <c r="G39" s="1380"/>
      <c r="H39" s="2696"/>
      <c r="I39" s="1394"/>
      <c r="J39" s="1395"/>
      <c r="K39" s="2700"/>
      <c r="L39" s="2696"/>
      <c r="M39" s="2696"/>
    </row>
    <row r="40" spans="1:18" ht="18" customHeight="1">
      <c r="A40" s="298" t="s">
        <v>395</v>
      </c>
      <c r="B40" s="299" t="s">
        <v>770</v>
      </c>
      <c r="C40" s="300">
        <f ca="1">ROUND(C39*(1-((1+F42)/(1+F40))^F41)/(F40-F42),0)</f>
        <v>14538</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37.590000000000003</v>
      </c>
      <c r="G41" s="1380"/>
      <c r="H41" s="1187"/>
      <c r="I41" s="1394"/>
      <c r="J41" s="1395"/>
      <c r="K41" s="2540"/>
      <c r="L41" s="1187"/>
      <c r="M41" s="1187"/>
    </row>
    <row r="42" spans="1:18" ht="18" customHeight="1">
      <c r="A42" s="307"/>
      <c r="B42" s="308"/>
      <c r="C42" s="309"/>
      <c r="D42" s="326"/>
      <c r="E42" s="301" t="s">
        <v>762</v>
      </c>
      <c r="F42" s="311">
        <f ca="1">INDIRECT("'数据-取费表'!v"&amp;$G$1)</f>
        <v>0.02</v>
      </c>
      <c r="G42" s="1380"/>
      <c r="H42" s="1187"/>
      <c r="I42" s="1394"/>
      <c r="J42" s="1395"/>
      <c r="K42" s="2540"/>
      <c r="L42" s="1187"/>
      <c r="M42" s="1187"/>
    </row>
    <row r="43" spans="1:18" ht="18" customHeight="1" thickBot="1">
      <c r="A43" s="333" t="s">
        <v>396</v>
      </c>
      <c r="B43" s="334" t="s">
        <v>772</v>
      </c>
      <c r="C43" s="335">
        <f ca="1">ROUND(C40*10000/F43,0)</f>
        <v>4742</v>
      </c>
      <c r="D43" s="336" t="s">
        <v>773</v>
      </c>
      <c r="E43" s="337" t="s">
        <v>774</v>
      </c>
      <c r="F43" s="338">
        <f ca="1">INDIRECT("'数据-取费表'!k"&amp;$G$1)</f>
        <v>30659.07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8" thickBot="1">
      <c r="A46" s="1400" t="s">
        <v>805</v>
      </c>
      <c r="C46" s="1401">
        <f ca="1">C68-C40</f>
        <v>-16428</v>
      </c>
      <c r="D46" s="1402" t="str">
        <f>C2</f>
        <v>万元</v>
      </c>
      <c r="E46" s="1396"/>
      <c r="F46" s="1396"/>
      <c r="I46" s="1403" t="s">
        <v>806</v>
      </c>
      <c r="J46" s="1404"/>
      <c r="K46" s="1405"/>
      <c r="L46" s="1406">
        <f ca="1">IF(M47="住宅",0,IF(L48&gt;J51,L60,J60))</f>
        <v>531</v>
      </c>
      <c r="O46" s="1407" t="s">
        <v>807</v>
      </c>
      <c r="P46" s="1408" t="s">
        <v>808</v>
      </c>
      <c r="Q46" s="1409" t="s">
        <v>809</v>
      </c>
      <c r="R46" s="1409" t="s">
        <v>810</v>
      </c>
    </row>
    <row r="47" spans="1:18" s="1380" customFormat="1" ht="13.8" thickBot="1">
      <c r="A47" s="942" t="s">
        <v>683</v>
      </c>
      <c r="B47" s="974" t="s">
        <v>684</v>
      </c>
      <c r="C47" s="1113" t="s">
        <v>685</v>
      </c>
      <c r="D47" s="974" t="s">
        <v>686</v>
      </c>
      <c r="E47" s="1054" t="s">
        <v>687</v>
      </c>
      <c r="F47" s="1055"/>
      <c r="G47" s="720"/>
      <c r="I47" s="1410" t="s">
        <v>811</v>
      </c>
      <c r="J47" s="1411" t="s">
        <v>3429</v>
      </c>
      <c r="K47" s="1412" t="s">
        <v>812</v>
      </c>
      <c r="L47" s="1413">
        <f ca="1">INDIRECT("'数据-取费表'!d"&amp;$G$1)</f>
        <v>50</v>
      </c>
      <c r="M47" s="1376" t="str">
        <f>IF(ISNUMBER(FIND("住宅",C1)),"住宅","非住宅")</f>
        <v>非住宅</v>
      </c>
      <c r="O47" s="1414" t="s">
        <v>403</v>
      </c>
      <c r="P47" s="1415" t="s">
        <v>813</v>
      </c>
      <c r="Q47" s="1416">
        <f ca="1">C40+J29</f>
        <v>14538</v>
      </c>
      <c r="R47" s="1416" t="s">
        <v>814</v>
      </c>
    </row>
    <row r="48" spans="1:18" s="1380" customFormat="1" ht="40.200000000000003" thickBot="1">
      <c r="A48" s="1106" t="s">
        <v>438</v>
      </c>
      <c r="B48" s="299" t="s">
        <v>688</v>
      </c>
      <c r="C48" s="3468">
        <f ca="1">C49+C53+C55</f>
        <v>0</v>
      </c>
      <c r="D48" s="1108"/>
      <c r="E48" s="1109"/>
      <c r="F48" s="958"/>
      <c r="G48" s="720"/>
      <c r="H48" s="721"/>
      <c r="I48" s="1417" t="s">
        <v>815</v>
      </c>
      <c r="J48" s="1418" t="s">
        <v>3430</v>
      </c>
      <c r="K48" s="1419" t="s">
        <v>816</v>
      </c>
      <c r="L48" s="1420">
        <f ca="1">INDIRECT("'数据-取费表'!f"&amp;$G$1)</f>
        <v>37.590000000000003</v>
      </c>
      <c r="O48" s="1414" t="s">
        <v>404</v>
      </c>
      <c r="P48" s="1415" t="s">
        <v>817</v>
      </c>
      <c r="Q48" s="1416">
        <f ca="1">J60</f>
        <v>531</v>
      </c>
      <c r="R48" s="1416" t="s">
        <v>818</v>
      </c>
    </row>
    <row r="49" spans="1:18" s="1380" customFormat="1" ht="13.8"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20109</v>
      </c>
      <c r="R49" s="1416" t="s">
        <v>814</v>
      </c>
    </row>
    <row r="50" spans="1:18" s="1380" customFormat="1" ht="13.8" thickBot="1">
      <c r="A50" s="972"/>
      <c r="B50" s="975"/>
      <c r="C50" s="1114"/>
      <c r="D50" s="949"/>
      <c r="E50" s="1052" t="s">
        <v>693</v>
      </c>
      <c r="F50" s="1053">
        <f ca="1">F7</f>
        <v>30659.07</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8"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-11239</v>
      </c>
      <c r="M51" s="1432"/>
      <c r="O51" s="1424" t="s">
        <v>407</v>
      </c>
      <c r="P51" s="1415" t="s">
        <v>827</v>
      </c>
      <c r="Q51" s="1427">
        <f>J52</f>
        <v>7.4999999999999997E-2</v>
      </c>
      <c r="R51" s="1416"/>
    </row>
    <row r="52" spans="1:18" s="1380" customFormat="1" ht="13.8" thickBot="1">
      <c r="A52" s="973"/>
      <c r="B52" s="975"/>
      <c r="C52" s="976"/>
      <c r="D52" s="949"/>
      <c r="E52" s="977" t="s">
        <v>695</v>
      </c>
      <c r="F52" s="1050"/>
      <c r="I52" s="1433" t="s">
        <v>828</v>
      </c>
      <c r="J52" s="1434">
        <v>7.4999999999999997E-2</v>
      </c>
      <c r="K52" s="1433" t="s">
        <v>829</v>
      </c>
      <c r="L52" s="1434"/>
      <c r="O52" s="1424" t="s">
        <v>408</v>
      </c>
      <c r="P52" s="1415" t="s">
        <v>830</v>
      </c>
      <c r="Q52" s="1416">
        <f ca="1">J53</f>
        <v>37.590000000000003</v>
      </c>
      <c r="R52" s="1416" t="s">
        <v>831</v>
      </c>
    </row>
    <row r="53" spans="1:18" s="1380" customFormat="1" ht="36.6"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37.590000000000003</v>
      </c>
      <c r="K53" s="3799" t="s">
        <v>833</v>
      </c>
      <c r="L53" s="3800"/>
      <c r="O53" s="1414" t="s">
        <v>409</v>
      </c>
      <c r="P53" s="1415" t="s">
        <v>834</v>
      </c>
      <c r="Q53" s="1416">
        <f ca="1">Q47+Q48</f>
        <v>15069</v>
      </c>
      <c r="R53" s="1416" t="s">
        <v>410</v>
      </c>
    </row>
    <row r="54" spans="1:18" s="1380" customFormat="1" ht="24.6"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8" thickBot="1">
      <c r="A55" s="1079" t="s">
        <v>437</v>
      </c>
      <c r="B55" s="1365" t="s">
        <v>699</v>
      </c>
      <c r="C55" s="1080"/>
      <c r="D55" s="1362"/>
      <c r="E55" s="3461"/>
      <c r="F55" s="1436"/>
      <c r="I55" s="1439" t="s">
        <v>836</v>
      </c>
      <c r="J55" s="1440">
        <f ca="1">ROUND(IF(J47="钢混",J57/J50,1-(1-2%)*(J50-J57)/J50),3)</f>
        <v>0.307</v>
      </c>
      <c r="K55" s="1441" t="s">
        <v>837</v>
      </c>
      <c r="L55" s="1442"/>
      <c r="O55" s="1407" t="s">
        <v>807</v>
      </c>
      <c r="P55" s="1408" t="s">
        <v>808</v>
      </c>
      <c r="Q55" s="1409" t="s">
        <v>809</v>
      </c>
      <c r="R55" s="1409" t="s">
        <v>810</v>
      </c>
    </row>
    <row r="56" spans="1:18" s="1380" customFormat="1" ht="37.200000000000003" thickTop="1" thickBot="1">
      <c r="A56" s="953">
        <v>2</v>
      </c>
      <c r="B56" s="954" t="s">
        <v>700</v>
      </c>
      <c r="C56" s="231">
        <f ca="1">C13</f>
        <v>18701</v>
      </c>
      <c r="D56" s="1443"/>
      <c r="E56" s="1444"/>
      <c r="F56" s="1436"/>
      <c r="I56" s="1445" t="s">
        <v>838</v>
      </c>
      <c r="J56" s="1446" t="s">
        <v>3431</v>
      </c>
      <c r="K56" s="1417" t="s">
        <v>839</v>
      </c>
      <c r="L56" s="1420" t="str">
        <f ca="1">IF(L48&lt;J51,"——",L48-J53)</f>
        <v>——</v>
      </c>
      <c r="O56" s="1414" t="s">
        <v>403</v>
      </c>
      <c r="P56" s="1415" t="s">
        <v>813</v>
      </c>
      <c r="Q56" s="1416">
        <f ca="1">C40+J29</f>
        <v>14538</v>
      </c>
      <c r="R56" s="1416" t="s">
        <v>814</v>
      </c>
    </row>
    <row r="57" spans="1:18" s="1380" customFormat="1" ht="24.6" thickBot="1">
      <c r="A57" s="1447"/>
      <c r="B57" s="946" t="s">
        <v>763</v>
      </c>
      <c r="C57" s="237">
        <f ca="1">C29</f>
        <v>20109</v>
      </c>
      <c r="D57" s="1448"/>
      <c r="E57" s="1449"/>
      <c r="F57" s="1450"/>
      <c r="I57" s="1451" t="s">
        <v>840</v>
      </c>
      <c r="J57" s="1452">
        <f ca="1">IF(OR(M47="住宅",J51&lt;L48,J56="是"),"——",J51-L48)</f>
        <v>18.409999999999997</v>
      </c>
      <c r="K57" s="1417" t="s">
        <v>841</v>
      </c>
      <c r="L57" s="1420" t="str">
        <f ca="1">IF(L48&lt;J51,"——",IF(L55="比较法",L49,IF(L55="基准地价",L50,L51)))</f>
        <v>——</v>
      </c>
      <c r="O57" s="1414" t="s">
        <v>404</v>
      </c>
      <c r="P57" s="1415" t="s">
        <v>842</v>
      </c>
      <c r="Q57" s="1416">
        <f ca="1">L60</f>
        <v>0</v>
      </c>
      <c r="R57" s="1416" t="s">
        <v>843</v>
      </c>
    </row>
    <row r="58" spans="1:18" s="1380" customFormat="1" ht="24.6" thickBot="1">
      <c r="A58" s="314" t="s">
        <v>393</v>
      </c>
      <c r="B58" s="954" t="s">
        <v>710</v>
      </c>
      <c r="C58" s="315">
        <f ca="1">ROUND(C59+C64+C65+C66,0)</f>
        <v>120</v>
      </c>
      <c r="D58" s="956" t="s">
        <v>711</v>
      </c>
      <c r="E58" s="957"/>
      <c r="F58" s="958"/>
      <c r="I58" s="1451" t="s">
        <v>844</v>
      </c>
      <c r="J58" s="1453">
        <f ca="1">IF(J55&lt;0.4,0.4,J55)</f>
        <v>0.4</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6"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8044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2"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531</v>
      </c>
      <c r="K60" s="1456" t="s">
        <v>850</v>
      </c>
      <c r="L60" s="1455">
        <f ca="1">IF(OR(M47="住宅",L48&lt;J51),0,ROUND(L57*(L58/L59-1),0))</f>
        <v>0</v>
      </c>
      <c r="O60" s="1424" t="s">
        <v>407</v>
      </c>
      <c r="P60" s="1415" t="s">
        <v>851</v>
      </c>
      <c r="Q60" s="1416" t="e">
        <f ca="1">L58</f>
        <v>#DIV/0!</v>
      </c>
      <c r="R60" s="1416" t="s">
        <v>852</v>
      </c>
    </row>
    <row r="61" spans="1:18" s="1380" customFormat="1" ht="13.8"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8" thickBot="1">
      <c r="A62" s="978" t="s">
        <v>780</v>
      </c>
      <c r="B62" s="945" t="s">
        <v>781</v>
      </c>
      <c r="C62" s="22">
        <f ca="1">IF(项目基本情况!B11="自然人","——",ROUND(F62*F63/10000,2))</f>
        <v>1.1599999999999999</v>
      </c>
      <c r="D62" s="961" t="s">
        <v>782</v>
      </c>
      <c r="E62" s="946" t="s">
        <v>783</v>
      </c>
      <c r="F62" s="324">
        <f t="shared" si="0"/>
        <v>3</v>
      </c>
      <c r="I62" s="1458" t="s">
        <v>854</v>
      </c>
      <c r="J62" s="1459" t="s">
        <v>855</v>
      </c>
      <c r="K62" s="1459" t="s">
        <v>856</v>
      </c>
      <c r="L62" s="1459" t="s">
        <v>857</v>
      </c>
      <c r="M62" s="1460" t="s">
        <v>858</v>
      </c>
      <c r="O62" s="1414" t="s">
        <v>409</v>
      </c>
      <c r="P62" s="1415" t="s">
        <v>859</v>
      </c>
      <c r="Q62" s="1416">
        <f ca="1">Q56+Q57</f>
        <v>14538</v>
      </c>
      <c r="R62" s="1416" t="s">
        <v>410</v>
      </c>
    </row>
    <row r="63" spans="1:18" s="1380" customFormat="1" ht="13.8" thickBot="1">
      <c r="A63" s="325"/>
      <c r="B63" s="952"/>
      <c r="C63" s="26"/>
      <c r="D63" s="962"/>
      <c r="E63" s="946" t="s">
        <v>784</v>
      </c>
      <c r="F63" s="302">
        <f t="shared" ca="1" si="0"/>
        <v>3874.55</v>
      </c>
      <c r="I63" s="1458" t="s">
        <v>860</v>
      </c>
      <c r="J63" s="1459">
        <v>70</v>
      </c>
      <c r="K63" s="1459">
        <v>50</v>
      </c>
      <c r="L63" s="1459">
        <v>80</v>
      </c>
      <c r="M63" s="1461">
        <v>0.02</v>
      </c>
      <c r="O63" s="1399" t="s">
        <v>861</v>
      </c>
      <c r="P63" s="1377"/>
      <c r="Q63" s="1377"/>
      <c r="R63" s="1377"/>
    </row>
    <row r="64" spans="1:18" s="1380" customFormat="1" ht="13.8" thickBot="1">
      <c r="A64" s="978" t="s">
        <v>785</v>
      </c>
      <c r="B64" s="946" t="s">
        <v>734</v>
      </c>
      <c r="C64" s="21">
        <f ca="1">ROUND(C57*F64,2)</f>
        <v>100.55</v>
      </c>
      <c r="D64" s="960" t="s">
        <v>787</v>
      </c>
      <c r="E64" s="946" t="s">
        <v>779</v>
      </c>
      <c r="F64" s="327">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8" thickBot="1">
      <c r="A65" s="978" t="s">
        <v>788</v>
      </c>
      <c r="B65" s="946" t="s">
        <v>738</v>
      </c>
      <c r="C65" s="21">
        <f ca="1">ROUND(C56*F65,2)</f>
        <v>18.7</v>
      </c>
      <c r="D65" s="960" t="s">
        <v>739</v>
      </c>
      <c r="E65" s="946" t="s">
        <v>740</v>
      </c>
      <c r="F65" s="329">
        <f t="shared" ca="1" si="0"/>
        <v>1E-3</v>
      </c>
      <c r="I65" s="1458" t="s">
        <v>863</v>
      </c>
      <c r="J65" s="1459">
        <v>40</v>
      </c>
      <c r="K65" s="1459">
        <v>30</v>
      </c>
      <c r="L65" s="1459">
        <v>50</v>
      </c>
      <c r="M65" s="1461">
        <v>0.02</v>
      </c>
      <c r="O65" s="1414" t="s">
        <v>403</v>
      </c>
      <c r="P65" s="1415" t="s">
        <v>864</v>
      </c>
      <c r="Q65" s="1416">
        <f ca="1">C40+J29</f>
        <v>14538</v>
      </c>
      <c r="R65" s="1416" t="s">
        <v>814</v>
      </c>
    </row>
    <row r="66" spans="1:18" s="1380" customFormat="1" ht="16.2"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24.6" thickBot="1">
      <c r="A67" s="953" t="s">
        <v>394</v>
      </c>
      <c r="B67" s="963" t="s">
        <v>748</v>
      </c>
      <c r="C67" s="315">
        <f ca="1">C48-C58</f>
        <v>-120</v>
      </c>
      <c r="D67" s="959" t="s">
        <v>749</v>
      </c>
      <c r="E67" s="964"/>
      <c r="F67" s="965"/>
      <c r="O67" s="1424" t="s">
        <v>405</v>
      </c>
      <c r="P67" s="1415" t="s">
        <v>846</v>
      </c>
      <c r="Q67" s="1462">
        <f ca="1">L51</f>
        <v>-11239</v>
      </c>
      <c r="R67" s="1416" t="s">
        <v>866</v>
      </c>
    </row>
    <row r="68" spans="1:18" s="1380" customFormat="1" ht="16.2" thickBot="1">
      <c r="A68" s="943" t="s">
        <v>395</v>
      </c>
      <c r="B68" s="944" t="s">
        <v>770</v>
      </c>
      <c r="C68" s="300">
        <f ca="1">ROUND(C67*(1-((1+F70)/(1+F68))^F69)/(F68-F70),0)</f>
        <v>-1890</v>
      </c>
      <c r="D68" s="961" t="s">
        <v>754</v>
      </c>
      <c r="E68" s="946" t="s">
        <v>755</v>
      </c>
      <c r="F68" s="311">
        <f ca="1">F40</f>
        <v>5.5E-2</v>
      </c>
      <c r="O68" s="1424" t="s">
        <v>406</v>
      </c>
      <c r="P68" s="1463" t="s">
        <v>867</v>
      </c>
      <c r="Q68" s="1416">
        <f ca="1">ROUND(Q69-Q70*Q71,0)</f>
        <v>-601</v>
      </c>
      <c r="R68" s="1416" t="s">
        <v>414</v>
      </c>
    </row>
    <row r="69" spans="1:18" s="1380" customFormat="1" ht="13.8" thickBot="1">
      <c r="A69" s="947"/>
      <c r="B69" s="948"/>
      <c r="C69" s="305"/>
      <c r="D69" s="966" t="s">
        <v>758</v>
      </c>
      <c r="E69" s="946" t="s">
        <v>759</v>
      </c>
      <c r="F69" s="332">
        <f ca="1">F41</f>
        <v>37.590000000000003</v>
      </c>
      <c r="O69" s="1424" t="s">
        <v>411</v>
      </c>
      <c r="P69" s="1463" t="s">
        <v>868</v>
      </c>
      <c r="Q69" s="1416">
        <f ca="1">C39</f>
        <v>708</v>
      </c>
      <c r="R69" s="1416" t="s">
        <v>814</v>
      </c>
    </row>
    <row r="70" spans="1:18" s="1380" customFormat="1" ht="13.8" thickBot="1">
      <c r="A70" s="950"/>
      <c r="B70" s="951"/>
      <c r="C70" s="309"/>
      <c r="D70" s="962"/>
      <c r="E70" s="946" t="s">
        <v>762</v>
      </c>
      <c r="F70" s="1050"/>
      <c r="O70" s="1424" t="s">
        <v>412</v>
      </c>
      <c r="P70" s="1463" t="s">
        <v>869</v>
      </c>
      <c r="Q70" s="1416">
        <f ca="1">C13</f>
        <v>18701</v>
      </c>
      <c r="R70" s="1416" t="s">
        <v>814</v>
      </c>
    </row>
    <row r="71" spans="1:18" s="1380" customFormat="1" ht="13.8" thickBot="1">
      <c r="A71" s="967" t="s">
        <v>396</v>
      </c>
      <c r="B71" s="968" t="s">
        <v>772</v>
      </c>
      <c r="C71" s="335">
        <f ca="1">ROUND(C68*10000/F71,0)</f>
        <v>-616</v>
      </c>
      <c r="D71" s="969" t="s">
        <v>773</v>
      </c>
      <c r="E71" s="970" t="s">
        <v>774</v>
      </c>
      <c r="F71" s="338">
        <f ca="1">F43</f>
        <v>30659.07</v>
      </c>
      <c r="O71" s="1424" t="s">
        <v>413</v>
      </c>
      <c r="P71" s="1463" t="s">
        <v>870</v>
      </c>
      <c r="Q71" s="1427">
        <f ca="1">C76</f>
        <v>7.0000000000000007E-2</v>
      </c>
      <c r="R71" s="1416"/>
    </row>
    <row r="72" spans="1:18" s="1380" customFormat="1" ht="13.8" thickBot="1">
      <c r="B72" s="724"/>
      <c r="C72" s="724"/>
      <c r="O72" s="1424" t="s">
        <v>407</v>
      </c>
      <c r="P72" s="1415" t="s">
        <v>848</v>
      </c>
      <c r="Q72" s="1427">
        <f>L52</f>
        <v>0</v>
      </c>
      <c r="R72" s="1416"/>
    </row>
    <row r="73" spans="1:18" ht="16.2" thickBot="1">
      <c r="A73" s="1380"/>
      <c r="B73" s="724"/>
      <c r="C73" s="724"/>
      <c r="D73" s="1380"/>
      <c r="E73" s="1380"/>
      <c r="F73" s="1380"/>
      <c r="O73" s="1424" t="s">
        <v>408</v>
      </c>
      <c r="P73" s="1415" t="s">
        <v>851</v>
      </c>
      <c r="Q73" s="1416" t="e">
        <f ca="1">L58</f>
        <v>#DIV/0!</v>
      </c>
      <c r="R73" s="1416" t="s">
        <v>852</v>
      </c>
    </row>
    <row r="74" spans="1:18" ht="13.8"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8" thickBot="1">
      <c r="A75" s="1380"/>
      <c r="B75" s="339" t="s">
        <v>791</v>
      </c>
      <c r="C75" s="340">
        <f ca="1">ROUND(C13*C76,0)</f>
        <v>1309</v>
      </c>
      <c r="D75" s="1380"/>
      <c r="E75" s="1380"/>
      <c r="F75" s="1380"/>
      <c r="K75" s="1398"/>
      <c r="L75" s="1380"/>
      <c r="O75" s="1414" t="s">
        <v>409</v>
      </c>
      <c r="P75" s="1415" t="s">
        <v>834</v>
      </c>
      <c r="Q75" s="1416">
        <f ca="1">Q65+Q66</f>
        <v>14538</v>
      </c>
      <c r="R75" s="1416" t="s">
        <v>410</v>
      </c>
    </row>
    <row r="76" spans="1:18">
      <c r="B76" s="341" t="s">
        <v>792</v>
      </c>
      <c r="C76" s="342">
        <f ca="1">INDIRECT("'数据-取费表'!j"&amp;$G$1)</f>
        <v>7.0000000000000007E-2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-0.84899999999999998</v>
      </c>
    </row>
    <row r="80" spans="1:18">
      <c r="B80" s="339" t="s">
        <v>796</v>
      </c>
      <c r="C80" s="273">
        <f ca="1">ROUND(C75/C39,3)</f>
        <v>1.849</v>
      </c>
    </row>
    <row r="81" spans="2:3">
      <c r="B81" s="269" t="s">
        <v>797</v>
      </c>
      <c r="C81" s="237"/>
    </row>
    <row r="82" spans="2:3">
      <c r="B82" s="272" t="s">
        <v>798</v>
      </c>
      <c r="C82" s="274">
        <f ca="1">1-C83</f>
        <v>-0.28600000000000003</v>
      </c>
    </row>
    <row r="83" spans="2:3">
      <c r="B83" s="272" t="s">
        <v>799</v>
      </c>
      <c r="C83" s="273">
        <f ca="1">ROUND(C13/C40,3)</f>
        <v>1.286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4" customWidth="1"/>
    <col min="12" max="12" width="16.33203125" style="257" customWidth="1"/>
    <col min="13" max="13" width="13" style="257"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7"/>
  </cols>
  <sheetData>
    <row r="1" spans="1:37" s="292" customFormat="1" ht="21.6">
      <c r="A1" s="1371" t="s">
        <v>873</v>
      </c>
      <c r="B1" s="711"/>
      <c r="C1" s="1375"/>
      <c r="D1" s="1358" t="s">
        <v>43</v>
      </c>
      <c r="E1" s="1359" t="s">
        <v>674</v>
      </c>
      <c r="F1" s="1058">
        <f ca="1">J53</f>
        <v>0</v>
      </c>
      <c r="G1" s="1374">
        <f>MATCH(C1,'数据-取费表'!A6:A16,0)+5</f>
        <v>10</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874</v>
      </c>
      <c r="B2" s="3421" t="e">
        <f ca="1">ROUND(D2/10000,4)</f>
        <v>#DIV/0!</v>
      </c>
      <c r="C2" s="1383" t="s">
        <v>875</v>
      </c>
      <c r="D2" s="1467" t="e">
        <f ca="1">C40+J29+L46</f>
        <v>#DIV/0!</v>
      </c>
      <c r="E2" s="1384" t="s">
        <v>876</v>
      </c>
      <c r="F2" s="1385"/>
      <c r="G2" s="2702"/>
      <c r="H2" s="2691"/>
      <c r="I2" s="2691"/>
      <c r="J2" s="2691"/>
      <c r="K2" s="2692"/>
      <c r="L2" s="2691"/>
      <c r="M2" s="2691"/>
    </row>
    <row r="3" spans="1:37" ht="18" customHeight="1" thickBot="1">
      <c r="A3" s="1386" t="s">
        <v>877</v>
      </c>
      <c r="B3" s="1387">
        <f ca="1">IF(ISERROR(D2/F43),0,ROUND(D2/F43,0))</f>
        <v>0</v>
      </c>
      <c r="C3" s="1383" t="s">
        <v>878</v>
      </c>
      <c r="D3" s="1383"/>
      <c r="E3" s="1384"/>
      <c r="F3" s="1385"/>
      <c r="G3" s="2702"/>
      <c r="H3" s="681" t="s">
        <v>872</v>
      </c>
      <c r="I3" s="1378"/>
      <c r="J3" s="1378"/>
      <c r="K3" s="1379"/>
      <c r="L3" s="1378"/>
      <c r="M3" s="1378"/>
    </row>
    <row r="4" spans="1:37" ht="18" customHeight="1">
      <c r="A4" s="294" t="s">
        <v>879</v>
      </c>
      <c r="B4" s="295" t="s">
        <v>880</v>
      </c>
      <c r="C4" s="295" t="s">
        <v>881</v>
      </c>
      <c r="D4" s="295" t="s">
        <v>882</v>
      </c>
      <c r="E4" s="296" t="s">
        <v>883</v>
      </c>
      <c r="F4" s="297"/>
      <c r="G4" s="1380"/>
      <c r="H4" s="294" t="s">
        <v>879</v>
      </c>
      <c r="I4" s="295" t="s">
        <v>880</v>
      </c>
      <c r="J4" s="295" t="s">
        <v>881</v>
      </c>
      <c r="K4" s="295" t="s">
        <v>882</v>
      </c>
      <c r="L4" s="296" t="s">
        <v>883</v>
      </c>
      <c r="M4" s="297"/>
    </row>
    <row r="5" spans="1:37" ht="18" customHeight="1">
      <c r="A5" s="298">
        <v>1</v>
      </c>
      <c r="B5" s="299" t="s">
        <v>884</v>
      </c>
      <c r="C5" s="1066">
        <f ca="1">C6+C10+C12</f>
        <v>0</v>
      </c>
      <c r="D5" s="1360" t="s">
        <v>885</v>
      </c>
      <c r="E5" s="1067"/>
      <c r="F5" s="1068"/>
      <c r="G5" s="1380"/>
      <c r="H5" s="298">
        <v>1</v>
      </c>
      <c r="I5" s="299" t="s">
        <v>884</v>
      </c>
      <c r="J5" s="1066">
        <f ca="1">J6+J10+J12</f>
        <v>0</v>
      </c>
      <c r="K5" s="1360" t="s">
        <v>885</v>
      </c>
      <c r="L5" s="1067"/>
      <c r="M5" s="1068"/>
    </row>
    <row r="6" spans="1:37" ht="18" customHeight="1">
      <c r="A6" s="1065" t="s">
        <v>398</v>
      </c>
      <c r="B6" s="3801" t="s">
        <v>690</v>
      </c>
      <c r="C6" s="1070">
        <f ca="1">ROUND(F6*F8*F7*(1-F9),0)</f>
        <v>0</v>
      </c>
      <c r="D6" s="154" t="s">
        <v>2102</v>
      </c>
      <c r="E6" s="301" t="s">
        <v>692</v>
      </c>
      <c r="F6" s="302">
        <f ca="1">INDIRECT("'数据-取费表'!u"&amp;$G$1)</f>
        <v>0</v>
      </c>
      <c r="G6" s="1380"/>
      <c r="H6" s="1065" t="s">
        <v>398</v>
      </c>
      <c r="I6" s="3801" t="s">
        <v>690</v>
      </c>
      <c r="J6" s="300">
        <f ca="1">ROUND(M6*M8*M7*(1-M9),0)</f>
        <v>0</v>
      </c>
      <c r="K6" s="1372" t="s">
        <v>2103</v>
      </c>
      <c r="L6" s="301" t="s">
        <v>692</v>
      </c>
      <c r="M6" s="302">
        <f ca="1">INDIRECT("'数据-取费表'!z"&amp;$G$1)</f>
        <v>0</v>
      </c>
    </row>
    <row r="7" spans="1:37" ht="18" customHeight="1">
      <c r="A7" s="1069"/>
      <c r="B7" s="3802"/>
      <c r="C7" s="1071"/>
      <c r="D7" s="306"/>
      <c r="E7" s="1072" t="s">
        <v>693</v>
      </c>
      <c r="F7" s="302">
        <f ca="1">IF(INDIRECT("'数据-取费表'!ah"&amp;$G$1)="",INDIRECT("'数据-取费表'!k"&amp;$G$1),INDIRECT("'数据-取费表'!ah"&amp;$G$1))</f>
        <v>0</v>
      </c>
      <c r="G7" s="1380"/>
      <c r="H7" s="303"/>
      <c r="I7" s="3802"/>
      <c r="J7" s="305"/>
      <c r="K7" s="306"/>
      <c r="L7" s="301" t="s">
        <v>693</v>
      </c>
      <c r="M7" s="302">
        <f ca="1">F7</f>
        <v>0</v>
      </c>
    </row>
    <row r="8" spans="1:37" ht="18" customHeight="1">
      <c r="A8" s="303"/>
      <c r="B8" s="3802"/>
      <c r="C8" s="305"/>
      <c r="D8" s="306"/>
      <c r="E8" s="301" t="s">
        <v>694</v>
      </c>
      <c r="F8" s="302">
        <f ca="1">INDIRECT("'数据-取费表'!ai"&amp;$G$1)</f>
        <v>0</v>
      </c>
      <c r="G8" s="1380"/>
      <c r="H8" s="303"/>
      <c r="I8" s="3802"/>
      <c r="J8" s="305"/>
      <c r="K8" s="306"/>
      <c r="L8" s="301" t="s">
        <v>694</v>
      </c>
      <c r="M8" s="302">
        <f ca="1">INDIRECT("'数据-取费表'!ai"&amp;$G$1)</f>
        <v>0</v>
      </c>
    </row>
    <row r="9" spans="1:37" ht="18" customHeight="1">
      <c r="A9" s="303"/>
      <c r="B9" s="3803"/>
      <c r="C9" s="305"/>
      <c r="D9" s="306"/>
      <c r="E9" s="301" t="s">
        <v>695</v>
      </c>
      <c r="F9" s="311">
        <f ca="1">INDIRECT("'数据-取费表'!w"&amp;$G$1)</f>
        <v>0</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73" t="s">
        <v>2114</v>
      </c>
      <c r="L10" s="312" t="s">
        <v>697</v>
      </c>
      <c r="M10" s="1112"/>
    </row>
    <row r="11" spans="1:37" ht="18" customHeight="1">
      <c r="A11" s="307"/>
      <c r="B11" s="1363" t="s">
        <v>886</v>
      </c>
      <c r="C11" s="955"/>
      <c r="D11" s="306"/>
      <c r="E11" s="312" t="s">
        <v>698</v>
      </c>
      <c r="F11" s="313">
        <f ca="1">'数据-取费表'!B39</f>
        <v>1.4999999999999999E-2</v>
      </c>
      <c r="G11" s="1380"/>
      <c r="H11" s="1073"/>
      <c r="I11" s="1363" t="s">
        <v>887</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0</v>
      </c>
      <c r="D13" s="1077" t="s">
        <v>701</v>
      </c>
      <c r="E13" s="1077" t="s">
        <v>702</v>
      </c>
      <c r="F13" s="1078">
        <f ca="1">INDIRECT("'数据-取费表'!y"&amp;$G$1)</f>
        <v>0</v>
      </c>
      <c r="G13" s="1380"/>
      <c r="H13" s="1075">
        <v>2</v>
      </c>
      <c r="I13" s="1076" t="s">
        <v>700</v>
      </c>
      <c r="J13" s="1064">
        <f ca="1">ROUND(J14*J15,0)</f>
        <v>0</v>
      </c>
      <c r="K13" s="1083" t="s">
        <v>701</v>
      </c>
      <c r="L13" s="1388"/>
      <c r="M13" s="1389"/>
    </row>
    <row r="14" spans="1:37" ht="18" customHeight="1">
      <c r="A14" s="978" t="s">
        <v>397</v>
      </c>
      <c r="B14" s="301" t="s">
        <v>703</v>
      </c>
      <c r="C14" s="317">
        <f ca="1">ROUND(INDIRECT("'数据-取费表'!l"&amp;$G$1)*F43+'数据-取费表'!L14*INDIRECT("'数据-取费表'!S"&amp;$G$1),0)</f>
        <v>0</v>
      </c>
      <c r="D14" s="1341" t="s">
        <v>704</v>
      </c>
      <c r="E14" s="1338"/>
      <c r="F14" s="318"/>
      <c r="G14" s="1380"/>
      <c r="H14" s="978" t="s">
        <v>398</v>
      </c>
      <c r="I14" s="301" t="s">
        <v>705</v>
      </c>
      <c r="J14" s="21">
        <f ca="1">C29</f>
        <v>0</v>
      </c>
      <c r="K14" s="12"/>
      <c r="L14" s="803"/>
      <c r="M14" s="804"/>
    </row>
    <row r="15" spans="1:37" s="1393" customFormat="1" ht="18" customHeight="1" thickBot="1">
      <c r="A15" s="978" t="s">
        <v>399</v>
      </c>
      <c r="B15" s="301" t="s">
        <v>706</v>
      </c>
      <c r="C15" s="21">
        <f ca="1">ROUND(C14*F15,0)</f>
        <v>0</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ROUND(INDIRECT("'数据-取费表'!l"&amp;$G$1)*F43*F16,0)</f>
        <v>0</v>
      </c>
      <c r="D16" s="301" t="s">
        <v>707</v>
      </c>
      <c r="E16" s="301" t="s">
        <v>708</v>
      </c>
      <c r="F16" s="321">
        <f ca="1">IF(INDIRECT("'数据-取费表'!c"&amp;$G$1)="住宅",'数据-取费表'!B34,0)</f>
        <v>0</v>
      </c>
      <c r="G16" s="1380"/>
      <c r="H16" s="1075" t="s">
        <v>393</v>
      </c>
      <c r="I16" s="1076" t="s">
        <v>710</v>
      </c>
      <c r="J16" s="309">
        <f ca="1">ROUND(J17+J22+J23+J24,0)</f>
        <v>0</v>
      </c>
      <c r="K16" s="1083" t="s">
        <v>711</v>
      </c>
      <c r="L16" s="1084"/>
      <c r="M16" s="1068"/>
    </row>
    <row r="17" spans="1:37" s="1393" customFormat="1" ht="18" customHeight="1">
      <c r="A17" s="978" t="s">
        <v>677</v>
      </c>
      <c r="B17" s="301" t="s">
        <v>712</v>
      </c>
      <c r="C17" s="21">
        <f ca="1">ROUND(F17*(F43+INDIRECT("'数据-取费表'!S"&amp;$G$1)),0)</f>
        <v>0</v>
      </c>
      <c r="D17" s="301" t="s">
        <v>713</v>
      </c>
      <c r="E17" s="301" t="s">
        <v>714</v>
      </c>
      <c r="F17" s="23">
        <f>'数据-取费表'!B35</f>
        <v>200</v>
      </c>
      <c r="G17" s="1392"/>
      <c r="H17" s="978" t="s">
        <v>398</v>
      </c>
      <c r="I17" s="301" t="s">
        <v>715</v>
      </c>
      <c r="J17" s="2312">
        <f ca="1">ROUND(IF(AND(项目基本情况!B11="自然人",项目基本情况!B10="北京市"),J6*M17/(1+'数据-取费表'!C42),J18+J19+J20),0)</f>
        <v>0</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0</v>
      </c>
      <c r="D18" s="301" t="s">
        <v>707</v>
      </c>
      <c r="E18" s="301" t="s">
        <v>708</v>
      </c>
      <c r="F18" s="321">
        <f>'数据-取费表'!B36</f>
        <v>1.4999999999999999E-2</v>
      </c>
      <c r="G18" s="1392"/>
      <c r="H18" s="978" t="s">
        <v>397</v>
      </c>
      <c r="I18" s="301" t="s">
        <v>719</v>
      </c>
      <c r="J18" s="21">
        <f ca="1">ROUND(J6*M18/(1+'数据-取费表'!C42),0)</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0</v>
      </c>
      <c r="D19" s="130" t="s">
        <v>722</v>
      </c>
      <c r="E19" s="1356"/>
      <c r="F19" s="23"/>
      <c r="G19" s="1380"/>
      <c r="H19" s="978" t="s">
        <v>399</v>
      </c>
      <c r="I19" s="301" t="s">
        <v>723</v>
      </c>
      <c r="J19" s="21">
        <f ca="1">IF(K19="按租金收入计税",ROUND(J6*M19/(1+'数据-取费表'!C42),0),ROUND(C29*M19*0.7,0))</f>
        <v>0</v>
      </c>
      <c r="K19" s="1366" t="s">
        <v>3337</v>
      </c>
      <c r="L19" s="301" t="s">
        <v>708</v>
      </c>
      <c r="M19" s="321">
        <f>IF(K19="按租金收入计税",'数据-取费表'!B51,'数据-取费表'!B50)</f>
        <v>0.12</v>
      </c>
    </row>
    <row r="20" spans="1:37" s="1393" customFormat="1" ht="18" customHeight="1">
      <c r="A20" s="978" t="s">
        <v>402</v>
      </c>
      <c r="B20" s="301" t="s">
        <v>724</v>
      </c>
      <c r="C20" s="21">
        <f ca="1">ROUND(C19*F20,0)</f>
        <v>0</v>
      </c>
      <c r="D20" s="322" t="s">
        <v>725</v>
      </c>
      <c r="E20" s="301" t="s">
        <v>708</v>
      </c>
      <c r="F20" s="321">
        <f>'数据-取费表'!B37</f>
        <v>0.03</v>
      </c>
      <c r="G20" s="1392"/>
      <c r="H20" s="978" t="s">
        <v>676</v>
      </c>
      <c r="I20" s="154" t="s">
        <v>726</v>
      </c>
      <c r="J20" s="22">
        <f ca="1">ROUND(M20*M21,0)</f>
        <v>0</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0</v>
      </c>
      <c r="D21" s="322" t="s">
        <v>730</v>
      </c>
      <c r="E21" s="301" t="s">
        <v>731</v>
      </c>
      <c r="F21" s="321">
        <f>'数据-取费表'!B38</f>
        <v>0.03</v>
      </c>
      <c r="G21" s="1392"/>
      <c r="H21" s="325"/>
      <c r="I21" s="310"/>
      <c r="J21" s="26"/>
      <c r="K21" s="326"/>
      <c r="L21" s="301" t="s">
        <v>732</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ROUND(J14*M22,0)</f>
        <v>0</v>
      </c>
      <c r="K22" s="1340" t="s">
        <v>735</v>
      </c>
      <c r="L22" s="301" t="s">
        <v>708</v>
      </c>
      <c r="M22" s="327">
        <f ca="1">INDIRECT("'数据-取费表'!Ak"&amp;$G$1)</f>
        <v>0</v>
      </c>
    </row>
    <row r="23" spans="1:37" s="1393" customFormat="1" ht="18" customHeight="1">
      <c r="A23" s="978" t="s">
        <v>397</v>
      </c>
      <c r="B23" s="301" t="s">
        <v>736</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ROUND(J13*M23,0)</f>
        <v>0</v>
      </c>
      <c r="K23" s="1340" t="s">
        <v>739</v>
      </c>
      <c r="L23" s="301" t="s">
        <v>740</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ROUND(J5*M24,0)</f>
        <v>0</v>
      </c>
      <c r="K24" s="1088" t="s">
        <v>744</v>
      </c>
      <c r="L24" s="1086" t="s">
        <v>740</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745</v>
      </c>
      <c r="B25" s="301" t="s">
        <v>746</v>
      </c>
      <c r="C25" s="21"/>
      <c r="D25" s="130" t="s">
        <v>747</v>
      </c>
      <c r="E25" s="1356"/>
      <c r="F25" s="23"/>
      <c r="G25" s="1380"/>
      <c r="H25" s="1075" t="s">
        <v>394</v>
      </c>
      <c r="I25" s="1090" t="s">
        <v>748</v>
      </c>
      <c r="J25" s="309">
        <f ca="1">J5-J16</f>
        <v>0</v>
      </c>
      <c r="K25" s="1091" t="s">
        <v>749</v>
      </c>
      <c r="L25" s="1092"/>
      <c r="M25" s="1093"/>
    </row>
    <row r="26" spans="1:37" ht="18" customHeight="1">
      <c r="A26" s="978" t="s">
        <v>397</v>
      </c>
      <c r="B26" s="301" t="s">
        <v>750</v>
      </c>
      <c r="C26" s="21">
        <f ca="1">ROUND((C19+C20)*F26,0)</f>
        <v>0</v>
      </c>
      <c r="D26" s="322" t="s">
        <v>751</v>
      </c>
      <c r="E26" s="312" t="s">
        <v>752</v>
      </c>
      <c r="F26" s="311">
        <f ca="1">INDIRECT("'数据-取费表'!q"&amp;$G$1)</f>
        <v>0</v>
      </c>
      <c r="G26" s="1380"/>
      <c r="H26" s="298" t="s">
        <v>395</v>
      </c>
      <c r="I26" s="299" t="s">
        <v>753</v>
      </c>
      <c r="J26" s="300">
        <f ca="1">IF(J5&lt;&gt;0,ROUND(J25*(1-((1+M28)/(1+M26))^M27)/(M26-M28),0),0)</f>
        <v>0</v>
      </c>
      <c r="K26" s="323" t="s">
        <v>754</v>
      </c>
      <c r="L26" s="301" t="s">
        <v>755</v>
      </c>
      <c r="M26" s="311">
        <f ca="1">INDIRECT("'数据-取费表'!I"&amp;$G$1)</f>
        <v>0</v>
      </c>
    </row>
    <row r="27" spans="1:37" ht="18" customHeight="1">
      <c r="A27" s="978" t="s">
        <v>399</v>
      </c>
      <c r="B27" s="301" t="s">
        <v>756</v>
      </c>
      <c r="C27" s="21">
        <f ca="1">ROUND(F21*F26,4)</f>
        <v>0</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0</v>
      </c>
      <c r="D29" s="1088"/>
      <c r="E29" s="1086"/>
      <c r="F29" s="1089"/>
      <c r="G29" s="1392"/>
      <c r="H29" s="333" t="s">
        <v>396</v>
      </c>
      <c r="I29" s="334" t="s">
        <v>764</v>
      </c>
      <c r="J29" s="335">
        <f ca="1">ROUND(J26/(1+F40)^F41,0)</f>
        <v>0</v>
      </c>
      <c r="K29" s="336" t="s">
        <v>765</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0</v>
      </c>
      <c r="D30" s="1083" t="s">
        <v>711</v>
      </c>
      <c r="E30" s="1084"/>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ROUND(IF(AND(项目基本情况!B11="自然人",项目基本情况!B10="北京市"),C6*F31/(1+'数据-取费表'!C42),C32+C33+C34),0)</f>
        <v>0</v>
      </c>
      <c r="D31" s="1341" t="s">
        <v>716</v>
      </c>
      <c r="E31" s="1340"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IF(项目基本情况!B11="自然人","——",ROUND(C6*F32/(1+'数据-取费表'!C42),0))</f>
        <v>0</v>
      </c>
      <c r="D32" s="1340"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IF(项目基本情况!B11="自然人","——",IF(D33="按租金收入计税",ROUND(C6*F33/(1+'数据-取费表'!C42),0),IF(D33="按房产原值计税",ROUND(C29*F33*0.7,0),INDIRECT("'数据-取费表'!Aj"&amp;$G$1))))</f>
        <v>0</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IF(项目基本情况!B11="自然人","——",ROUND(F34*F35,0))</f>
        <v>0</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0</v>
      </c>
      <c r="G35" s="1380"/>
      <c r="H35" s="2693"/>
      <c r="I35" s="1394"/>
      <c r="J35" s="1395"/>
      <c r="K35" s="2697"/>
      <c r="L35" s="2696"/>
      <c r="M35" s="2696"/>
    </row>
    <row r="36" spans="1:18" ht="18" customHeight="1">
      <c r="A36" s="1098" t="s">
        <v>402</v>
      </c>
      <c r="B36" s="301" t="s">
        <v>734</v>
      </c>
      <c r="C36" s="21">
        <f ca="1">ROUND(C29*F36,0)</f>
        <v>0</v>
      </c>
      <c r="D36" s="1340" t="s">
        <v>767</v>
      </c>
      <c r="E36" s="301" t="s">
        <v>708</v>
      </c>
      <c r="F36" s="327">
        <f ca="1">INDIRECT("'数据-取费表'!Ak"&amp;$G$1)</f>
        <v>0</v>
      </c>
      <c r="G36" s="1380"/>
      <c r="H36" s="2696"/>
      <c r="I36" s="1394"/>
      <c r="J36" s="1395"/>
      <c r="K36" s="2540"/>
      <c r="L36" s="2696"/>
      <c r="M36" s="2696"/>
    </row>
    <row r="37" spans="1:18" ht="18" customHeight="1">
      <c r="A37" s="978" t="s">
        <v>437</v>
      </c>
      <c r="B37" s="301" t="s">
        <v>738</v>
      </c>
      <c r="C37" s="21">
        <f ca="1">ROUND(C13*F37,0)</f>
        <v>0</v>
      </c>
      <c r="D37" s="1340" t="s">
        <v>739</v>
      </c>
      <c r="E37" s="301" t="s">
        <v>740</v>
      </c>
      <c r="F37" s="329">
        <f ca="1">INDIRECT("'数据-取费表'!Al"&amp;$G$1)</f>
        <v>0</v>
      </c>
      <c r="G37" s="1380"/>
      <c r="H37" s="2696"/>
      <c r="I37" s="1394"/>
      <c r="J37" s="1395"/>
      <c r="K37" s="2540"/>
      <c r="L37" s="2696"/>
      <c r="M37" s="2696"/>
    </row>
    <row r="38" spans="1:18" ht="18" customHeight="1" thickBot="1">
      <c r="A38" s="1085" t="s">
        <v>680</v>
      </c>
      <c r="B38" s="1086" t="s">
        <v>724</v>
      </c>
      <c r="C38" s="1087">
        <f ca="1">ROUND(C5*F38,0)</f>
        <v>0</v>
      </c>
      <c r="D38" s="1088" t="s">
        <v>744</v>
      </c>
      <c r="E38" s="1086" t="s">
        <v>740</v>
      </c>
      <c r="F38" s="1082">
        <f ca="1">INDIRECT("'数据-取费表'!Am"&amp;$G$1)</f>
        <v>0</v>
      </c>
      <c r="G38" s="1380"/>
      <c r="H38" s="2696"/>
      <c r="I38" s="1394"/>
      <c r="J38" s="1395"/>
      <c r="K38" s="2700"/>
      <c r="L38" s="2696"/>
      <c r="M38" s="2696"/>
    </row>
    <row r="39" spans="1:18" ht="24.6" customHeight="1" thickTop="1">
      <c r="A39" s="1075" t="s">
        <v>394</v>
      </c>
      <c r="B39" s="1090" t="s">
        <v>768</v>
      </c>
      <c r="C39" s="309">
        <f ca="1">C5-C30</f>
        <v>0</v>
      </c>
      <c r="D39" s="1091" t="s">
        <v>769</v>
      </c>
      <c r="E39" s="1092"/>
      <c r="F39" s="1093"/>
      <c r="G39" s="1380"/>
      <c r="H39" s="2696"/>
      <c r="I39" s="1394"/>
      <c r="J39" s="1395"/>
      <c r="K39" s="2700"/>
      <c r="L39" s="2696"/>
      <c r="M39" s="2696"/>
    </row>
    <row r="40" spans="1:18" ht="18" customHeight="1">
      <c r="A40" s="298" t="s">
        <v>395</v>
      </c>
      <c r="B40" s="299" t="s">
        <v>770</v>
      </c>
      <c r="C40" s="300" t="e">
        <f ca="1">ROUND(C39*(1-((1+F42)/(1+F40))^F41)/(F40-F42),0)</f>
        <v>#DIV/0!</v>
      </c>
      <c r="D40" s="323" t="s">
        <v>754</v>
      </c>
      <c r="E40" s="301" t="s">
        <v>755</v>
      </c>
      <c r="F40" s="311">
        <f ca="1">INDIRECT("'数据-取费表'!I"&amp;$G$1)</f>
        <v>0</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0</v>
      </c>
      <c r="G41" s="1380"/>
      <c r="H41" s="1187"/>
      <c r="I41" s="1394"/>
      <c r="J41" s="1395"/>
      <c r="K41" s="2540"/>
      <c r="L41" s="1187"/>
      <c r="M41" s="1187"/>
    </row>
    <row r="42" spans="1:18" ht="18" customHeight="1">
      <c r="A42" s="307"/>
      <c r="B42" s="308"/>
      <c r="C42" s="309"/>
      <c r="D42" s="326"/>
      <c r="E42" s="301" t="s">
        <v>762</v>
      </c>
      <c r="F42" s="311">
        <f ca="1">INDIRECT("'数据-取费表'!v"&amp;$G$1)</f>
        <v>0</v>
      </c>
      <c r="G42" s="1380"/>
      <c r="H42" s="1187"/>
      <c r="I42" s="1394"/>
      <c r="J42" s="1395"/>
      <c r="K42" s="2540"/>
      <c r="L42" s="1187"/>
      <c r="M42" s="1187"/>
    </row>
    <row r="43" spans="1:18" ht="18" customHeight="1" thickBot="1">
      <c r="A43" s="333" t="s">
        <v>396</v>
      </c>
      <c r="B43" s="334" t="s">
        <v>772</v>
      </c>
      <c r="C43" s="335" t="e">
        <f ca="1">ROUND(C40/F43,0)</f>
        <v>#DIV/0!</v>
      </c>
      <c r="D43" s="336" t="s">
        <v>773</v>
      </c>
      <c r="E43" s="337" t="s">
        <v>774</v>
      </c>
      <c r="F43" s="338">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3353</v>
      </c>
      <c r="B45" s="1396"/>
      <c r="C45" s="1468" t="e">
        <f ca="1">ROUND((C68-C40)/10000,4)</f>
        <v>#DIV/0!</v>
      </c>
      <c r="D45" s="3428" t="s">
        <v>3354</v>
      </c>
      <c r="E45" s="1396"/>
      <c r="F45" s="1396"/>
      <c r="O45" s="1399" t="s">
        <v>804</v>
      </c>
      <c r="P45" s="1457"/>
      <c r="Q45" s="1457"/>
      <c r="R45" s="1457"/>
    </row>
    <row r="46" spans="1:18" s="1380" customFormat="1" ht="13.8" thickBot="1">
      <c r="A46" s="1400" t="s">
        <v>805</v>
      </c>
      <c r="C46" s="1401" t="e">
        <f ca="1">ROUND(C45,0)</f>
        <v>#DIV/0!</v>
      </c>
      <c r="D46" s="1402" t="str">
        <f>C2</f>
        <v>万元</v>
      </c>
      <c r="I46" s="1403" t="s">
        <v>806</v>
      </c>
      <c r="J46" s="1404"/>
      <c r="K46" s="1405"/>
      <c r="L46" s="1406" t="e">
        <f ca="1">IF(M47="住宅",0,IF(L48&gt;J51,L60,J60))</f>
        <v>#DIV/0!</v>
      </c>
      <c r="O46" s="1407" t="s">
        <v>807</v>
      </c>
      <c r="P46" s="1408" t="s">
        <v>808</v>
      </c>
      <c r="Q46" s="1409" t="s">
        <v>809</v>
      </c>
      <c r="R46" s="1409" t="s">
        <v>810</v>
      </c>
    </row>
    <row r="47" spans="1:18" s="1380" customFormat="1" ht="13.8" thickBot="1">
      <c r="A47" s="942" t="s">
        <v>683</v>
      </c>
      <c r="B47" s="974" t="s">
        <v>684</v>
      </c>
      <c r="C47" s="974" t="s">
        <v>685</v>
      </c>
      <c r="D47" s="974" t="s">
        <v>686</v>
      </c>
      <c r="E47" s="1054" t="s">
        <v>687</v>
      </c>
      <c r="F47" s="1055"/>
      <c r="G47" s="720"/>
      <c r="I47" s="1410" t="s">
        <v>811</v>
      </c>
      <c r="J47" s="1411"/>
      <c r="K47" s="1412" t="s">
        <v>812</v>
      </c>
      <c r="L47" s="1413">
        <f ca="1">INDIRECT("'数据-取费表'!d"&amp;$G$1)</f>
        <v>0</v>
      </c>
      <c r="M47" s="1376" t="str">
        <f>IF(ISNUMBER(FIND("住宅",C1)),"住宅","非住宅")</f>
        <v>非住宅</v>
      </c>
      <c r="O47" s="1414" t="s">
        <v>403</v>
      </c>
      <c r="P47" s="1415" t="s">
        <v>813</v>
      </c>
      <c r="Q47" s="1416" t="e">
        <f ca="1">C40+J29</f>
        <v>#DIV/0!</v>
      </c>
      <c r="R47" s="1416" t="s">
        <v>814</v>
      </c>
    </row>
    <row r="48" spans="1:18" s="1380" customFormat="1" ht="40.200000000000003" thickBot="1">
      <c r="A48" s="1106" t="s">
        <v>438</v>
      </c>
      <c r="B48" s="299" t="s">
        <v>688</v>
      </c>
      <c r="C48" s="1355">
        <f ca="1">C49+C53+C55</f>
        <v>0</v>
      </c>
      <c r="D48" s="1108"/>
      <c r="E48" s="1109"/>
      <c r="F48" s="958"/>
      <c r="G48" s="720"/>
      <c r="H48" s="721"/>
      <c r="I48" s="1417" t="s">
        <v>815</v>
      </c>
      <c r="J48" s="1418"/>
      <c r="K48" s="1419" t="s">
        <v>816</v>
      </c>
      <c r="L48" s="1420">
        <f ca="1">INDIRECT("'数据-取费表'!f"&amp;$G$1)</f>
        <v>0</v>
      </c>
      <c r="O48" s="1414" t="s">
        <v>404</v>
      </c>
      <c r="P48" s="1415" t="s">
        <v>817</v>
      </c>
      <c r="Q48" s="1416" t="e">
        <f ca="1">J60</f>
        <v>#DIV/0!</v>
      </c>
      <c r="R48" s="1416" t="s">
        <v>818</v>
      </c>
    </row>
    <row r="49" spans="1:18" s="1380" customFormat="1" ht="13.8" thickBot="1">
      <c r="A49" s="971" t="s">
        <v>439</v>
      </c>
      <c r="B49" s="1367" t="s">
        <v>775</v>
      </c>
      <c r="C49" s="1110">
        <f ca="1">ROUND(F49*F51*F50*(1-F52),0)</f>
        <v>0</v>
      </c>
      <c r="D49" s="1051" t="s">
        <v>691</v>
      </c>
      <c r="E49" s="1368" t="s">
        <v>776</v>
      </c>
      <c r="F49" s="1056"/>
      <c r="G49" s="1421"/>
      <c r="H49" s="721"/>
      <c r="I49" s="1417" t="s">
        <v>819</v>
      </c>
      <c r="J49" s="1422"/>
      <c r="K49" s="1419" t="s">
        <v>820</v>
      </c>
      <c r="L49" s="1423"/>
      <c r="O49" s="1424" t="s">
        <v>405</v>
      </c>
      <c r="P49" s="1415" t="s">
        <v>821</v>
      </c>
      <c r="Q49" s="1416">
        <f ca="1">C29</f>
        <v>0</v>
      </c>
      <c r="R49" s="1416" t="s">
        <v>814</v>
      </c>
    </row>
    <row r="50" spans="1:18" s="1380" customFormat="1" ht="13.8" thickBot="1">
      <c r="A50" s="972"/>
      <c r="B50" s="975"/>
      <c r="C50" s="976"/>
      <c r="D50" s="949"/>
      <c r="E50" s="1052" t="s">
        <v>693</v>
      </c>
      <c r="F50" s="1053">
        <f ca="1">F7</f>
        <v>0</v>
      </c>
      <c r="H50" s="721"/>
      <c r="I50" s="1417" t="s">
        <v>822</v>
      </c>
      <c r="J50" s="1425">
        <f>SUMPRODUCT((I63:I65=J47)*(J62:L62=J48)*(J63:L65))</f>
        <v>0</v>
      </c>
      <c r="K50" s="1419" t="s">
        <v>823</v>
      </c>
      <c r="L50" s="1423"/>
      <c r="M50" s="1426"/>
      <c r="O50" s="1424" t="s">
        <v>406</v>
      </c>
      <c r="P50" s="1415" t="s">
        <v>824</v>
      </c>
      <c r="Q50" s="1427" t="e">
        <f ca="1">J58</f>
        <v>#DIV/0!</v>
      </c>
      <c r="R50" s="1416"/>
    </row>
    <row r="51" spans="1:18" s="1380" customFormat="1" ht="13.8" thickBot="1">
      <c r="A51" s="973"/>
      <c r="B51" s="975"/>
      <c r="C51" s="976"/>
      <c r="D51" s="949"/>
      <c r="E51" s="977" t="s">
        <v>694</v>
      </c>
      <c r="F51" s="302">
        <f ca="1">F8</f>
        <v>0</v>
      </c>
      <c r="I51" s="1428" t="s">
        <v>825</v>
      </c>
      <c r="J51" s="1429">
        <f>IF(J49="",J50,J49+J50-YEAR('数据-取费表'!B2))</f>
        <v>0</v>
      </c>
      <c r="K51" s="1430" t="s">
        <v>826</v>
      </c>
      <c r="L51" s="1431">
        <f ca="1">ROUND(-PV(INDIRECT("'数据-取费表'!h"&amp;$G$1),J51,(C39-C13*C76),0),0)</f>
        <v>0</v>
      </c>
      <c r="M51" s="1432"/>
      <c r="O51" s="1424" t="s">
        <v>407</v>
      </c>
      <c r="P51" s="1415" t="s">
        <v>827</v>
      </c>
      <c r="Q51" s="1427">
        <f>J52</f>
        <v>0</v>
      </c>
      <c r="R51" s="1416"/>
    </row>
    <row r="52" spans="1:18" s="1380" customFormat="1" ht="13.8" thickBot="1">
      <c r="A52" s="973"/>
      <c r="B52" s="975"/>
      <c r="C52" s="976"/>
      <c r="D52" s="949"/>
      <c r="E52" s="977" t="s">
        <v>695</v>
      </c>
      <c r="F52" s="1050"/>
      <c r="I52" s="1433" t="s">
        <v>828</v>
      </c>
      <c r="J52" s="1434"/>
      <c r="K52" s="1433" t="s">
        <v>829</v>
      </c>
      <c r="L52" s="1434"/>
      <c r="O52" s="1424" t="s">
        <v>408</v>
      </c>
      <c r="P52" s="1415" t="s">
        <v>830</v>
      </c>
      <c r="Q52" s="1416">
        <f ca="1">J53</f>
        <v>0</v>
      </c>
      <c r="R52" s="1416" t="s">
        <v>831</v>
      </c>
    </row>
    <row r="53" spans="1:18" s="1380" customFormat="1" ht="30.75" customHeight="1" thickBot="1">
      <c r="A53" s="1107" t="s">
        <v>440</v>
      </c>
      <c r="B53" s="322" t="s">
        <v>696</v>
      </c>
      <c r="C53" s="315">
        <f ca="1">ROUND(IF(F53="押一",C49/12*F11,IF(F53="押二",C49/12*2*F11,IF(F53="押三",C49/12*3*F11,C54*F11))),0)</f>
        <v>0</v>
      </c>
      <c r="D53" s="1362" t="s">
        <v>2115</v>
      </c>
      <c r="E53" s="312" t="s">
        <v>697</v>
      </c>
      <c r="F53" s="1112"/>
      <c r="I53" s="1435" t="s">
        <v>832</v>
      </c>
      <c r="J53" s="2164">
        <f ca="1">IF(M47="住宅",IF(D1="——",MAX(J51,L48),MAX(J51,L48-'数据-取费表'!B24)),IF(D1="——",MIN(J51,L48),MIN(J51,L48-'数据-取费表'!B24)))</f>
        <v>0</v>
      </c>
      <c r="K53" s="3799" t="s">
        <v>833</v>
      </c>
      <c r="L53" s="3800"/>
      <c r="O53" s="1414" t="s">
        <v>409</v>
      </c>
      <c r="P53" s="1415" t="s">
        <v>834</v>
      </c>
      <c r="Q53" s="1416" t="e">
        <f ca="1">Q47+Q48</f>
        <v>#DIV/0!</v>
      </c>
      <c r="R53" s="1416" t="s">
        <v>410</v>
      </c>
    </row>
    <row r="54" spans="1:18" s="1380" customFormat="1" ht="13.8" thickBot="1">
      <c r="A54" s="971"/>
      <c r="B54" s="1469" t="s">
        <v>887</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835</v>
      </c>
      <c r="P54" s="1377"/>
      <c r="Q54" s="1377"/>
      <c r="R54" s="1377"/>
    </row>
    <row r="55" spans="1:18" s="1380" customFormat="1" ht="13.8" thickBot="1">
      <c r="A55" s="1079" t="s">
        <v>437</v>
      </c>
      <c r="B55" s="1365" t="s">
        <v>699</v>
      </c>
      <c r="C55" s="1080"/>
      <c r="D55" s="1362"/>
      <c r="E55" s="1370"/>
      <c r="F55" s="1436"/>
      <c r="I55" s="1439" t="s">
        <v>836</v>
      </c>
      <c r="J55" s="1440" t="e">
        <f ca="1">ROUND(IF(J47="钢混",J57/J50,1-(1-2%)*(J50-J57)/J50),3)</f>
        <v>#DIV/0!</v>
      </c>
      <c r="K55" s="1441" t="s">
        <v>837</v>
      </c>
      <c r="L55" s="1442"/>
      <c r="O55" s="1407" t="s">
        <v>807</v>
      </c>
      <c r="P55" s="1408" t="s">
        <v>808</v>
      </c>
      <c r="Q55" s="1409" t="s">
        <v>809</v>
      </c>
      <c r="R55" s="1409" t="s">
        <v>810</v>
      </c>
    </row>
    <row r="56" spans="1:18" s="1380" customFormat="1" ht="36" customHeight="1" thickTop="1" thickBot="1">
      <c r="A56" s="953">
        <v>2</v>
      </c>
      <c r="B56" s="954" t="s">
        <v>700</v>
      </c>
      <c r="C56" s="231">
        <f ca="1">C13</f>
        <v>0</v>
      </c>
      <c r="D56" s="1443"/>
      <c r="E56" s="1444"/>
      <c r="F56" s="1436"/>
      <c r="I56" s="1445" t="s">
        <v>838</v>
      </c>
      <c r="J56" s="1446"/>
      <c r="K56" s="1417" t="s">
        <v>839</v>
      </c>
      <c r="L56" s="1420">
        <f ca="1">IF(L48&lt;J51,"——",L48-J51)</f>
        <v>0</v>
      </c>
      <c r="O56" s="1414" t="s">
        <v>403</v>
      </c>
      <c r="P56" s="1415" t="s">
        <v>813</v>
      </c>
      <c r="Q56" s="1416" t="e">
        <f ca="1">C40+J29</f>
        <v>#DIV/0!</v>
      </c>
      <c r="R56" s="1416" t="s">
        <v>814</v>
      </c>
    </row>
    <row r="57" spans="1:18" s="1380" customFormat="1" ht="24.6" thickBot="1">
      <c r="A57" s="1447"/>
      <c r="B57" s="946" t="s">
        <v>763</v>
      </c>
      <c r="C57" s="237">
        <f ca="1">C29</f>
        <v>0</v>
      </c>
      <c r="D57" s="1448"/>
      <c r="E57" s="1449"/>
      <c r="F57" s="1450"/>
      <c r="I57" s="1451" t="s">
        <v>840</v>
      </c>
      <c r="J57" s="1452">
        <f ca="1">IF(OR(M47="住宅",J51&lt;L48,J56="是"),"——",J51-L48)</f>
        <v>0</v>
      </c>
      <c r="K57" s="1417" t="s">
        <v>888</v>
      </c>
      <c r="L57" s="1420">
        <f ca="1">IF(L48&lt;J51,"——",IF(L55="比较法",L49,IF(L55="基准地价",L50,L51)))</f>
        <v>0</v>
      </c>
      <c r="O57" s="1414" t="s">
        <v>404</v>
      </c>
      <c r="P57" s="1415" t="s">
        <v>889</v>
      </c>
      <c r="Q57" s="1416" t="e">
        <f ca="1">L60</f>
        <v>#DIV/0!</v>
      </c>
      <c r="R57" s="1416" t="s">
        <v>890</v>
      </c>
    </row>
    <row r="58" spans="1:18" s="1380" customFormat="1" ht="24.6" thickBot="1">
      <c r="A58" s="314" t="s">
        <v>393</v>
      </c>
      <c r="B58" s="954" t="s">
        <v>710</v>
      </c>
      <c r="C58" s="315">
        <f ca="1">ROUND(C59+C64+C65+C66,0)</f>
        <v>0</v>
      </c>
      <c r="D58" s="956" t="s">
        <v>711</v>
      </c>
      <c r="E58" s="957"/>
      <c r="F58" s="958"/>
      <c r="I58" s="1451" t="s">
        <v>844</v>
      </c>
      <c r="J58" s="1453" t="e">
        <f ca="1">IF(J55&lt;0.4,0.4,J55)</f>
        <v>#DIV/0!</v>
      </c>
      <c r="K58" s="1430" t="s">
        <v>891</v>
      </c>
      <c r="L58" s="1420" t="e">
        <f ca="1">ROUND(POWER(1+L52,L47-L48)*(POWER(1+L52,L48)-1)/(POWER(1+L52,L47)-1),4)</f>
        <v>#DIV/0!</v>
      </c>
      <c r="O58" s="1424" t="s">
        <v>405</v>
      </c>
      <c r="P58" s="1415" t="s">
        <v>846</v>
      </c>
      <c r="Q58" s="1416">
        <f>IF(L55="比较法",L49,IF(L55="基准地价",L50,0))</f>
        <v>0</v>
      </c>
      <c r="R58" s="1416" t="s">
        <v>814</v>
      </c>
    </row>
    <row r="59" spans="1:18" s="1380" customFormat="1" ht="24.6" thickBot="1">
      <c r="A59" s="978" t="s">
        <v>398</v>
      </c>
      <c r="B59" s="946" t="s">
        <v>715</v>
      </c>
      <c r="C59" s="2312">
        <f ca="1">ROUND(IF(AND(项目基本情况!B11="自然人",项目基本情况!B10="北京市"),C49*F59/(1+'数据-取费表'!C42),C60+C61+C62),0)</f>
        <v>0</v>
      </c>
      <c r="D59" s="959" t="s">
        <v>716</v>
      </c>
      <c r="E59" s="960" t="s">
        <v>717</v>
      </c>
      <c r="F59" s="2311" t="str">
        <f>IF(项目基本情况!B11="企业","——",IF('数据-取费表'!B10="住宅",IF(F49*F50*F51/12/(1+'数据-取费表'!F30)&gt;100000,4%,2.5%),IF(F49*F50*F51/12/(1+'数据-取费表'!F30)&gt;100000,12%,7%)))</f>
        <v>——</v>
      </c>
      <c r="I59" s="1451" t="s">
        <v>847</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848</v>
      </c>
      <c r="Q59" s="1427">
        <f>L52</f>
        <v>0</v>
      </c>
      <c r="R59" s="1416"/>
    </row>
    <row r="60" spans="1:18" s="1380" customFormat="1" ht="16.2" thickBot="1">
      <c r="A60" s="978" t="s">
        <v>397</v>
      </c>
      <c r="B60" s="946" t="s">
        <v>719</v>
      </c>
      <c r="C60" s="21">
        <f ca="1">IF(项目基本情况!B11="自然人","——",ROUND(C48*F60/(1+'数据-取费表'!C42),0))</f>
        <v>0</v>
      </c>
      <c r="D60" s="960" t="s">
        <v>720</v>
      </c>
      <c r="E60" s="946" t="s">
        <v>708</v>
      </c>
      <c r="F60" s="330">
        <f t="shared" ref="F60:F66" si="0">F32</f>
        <v>5.6000000000000001E-2</v>
      </c>
      <c r="I60" s="1454" t="s">
        <v>849</v>
      </c>
      <c r="J60" s="1455" t="e">
        <f ca="1">IF(OR(M47="住宅",J51&lt;L48,J56="是"),"0",ROUND(J59/(1+J52)^J53,0))</f>
        <v>#DIV/0!</v>
      </c>
      <c r="K60" s="1456" t="s">
        <v>850</v>
      </c>
      <c r="L60" s="1455" t="e">
        <f ca="1">IF(OR(M47="住宅",L48&lt;J51),0,ROUND(L57*(L58/L59-1),0))</f>
        <v>#DIV/0!</v>
      </c>
      <c r="O60" s="1424" t="s">
        <v>407</v>
      </c>
      <c r="P60" s="1415" t="s">
        <v>851</v>
      </c>
      <c r="Q60" s="1416" t="e">
        <f ca="1">L58</f>
        <v>#DIV/0!</v>
      </c>
      <c r="R60" s="1416" t="s">
        <v>852</v>
      </c>
    </row>
    <row r="61" spans="1:18" s="1380" customFormat="1" ht="13.8" thickBot="1">
      <c r="A61" s="978" t="s">
        <v>777</v>
      </c>
      <c r="B61" s="946" t="s">
        <v>778</v>
      </c>
      <c r="C61" s="21">
        <f ca="1">IF(项目基本情况!B11="自然人","——",IF(D61="按租金收入计税",ROUND(C49*F61/(1+'数据-取费表'!C42),0),IF(D61="按房产原值计税",ROUND(C57*F61*0.7,0),INDIRECT("'数据-取费表'!Aj"&amp;$G$1))))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8" thickBot="1">
      <c r="A62" s="978" t="s">
        <v>780</v>
      </c>
      <c r="B62" s="945" t="s">
        <v>781</v>
      </c>
      <c r="C62" s="22">
        <f ca="1">IF(项目基本情况!B11="自然人","——",ROUND(F62*F63,0))</f>
        <v>0</v>
      </c>
      <c r="D62" s="961" t="s">
        <v>782</v>
      </c>
      <c r="E62" s="946" t="s">
        <v>783</v>
      </c>
      <c r="F62" s="324">
        <f t="shared" si="0"/>
        <v>3</v>
      </c>
      <c r="I62" s="1458" t="s">
        <v>854</v>
      </c>
      <c r="J62" s="1459" t="s">
        <v>855</v>
      </c>
      <c r="K62" s="1459" t="s">
        <v>856</v>
      </c>
      <c r="L62" s="1459" t="s">
        <v>857</v>
      </c>
      <c r="M62" s="1460" t="s">
        <v>858</v>
      </c>
      <c r="O62" s="1414" t="s">
        <v>409</v>
      </c>
      <c r="P62" s="1415" t="s">
        <v>859</v>
      </c>
      <c r="Q62" s="1416" t="e">
        <f ca="1">Q56+Q57</f>
        <v>#DIV/0!</v>
      </c>
      <c r="R62" s="1416" t="s">
        <v>410</v>
      </c>
    </row>
    <row r="63" spans="1:18" s="1380" customFormat="1" ht="13.8" thickBot="1">
      <c r="A63" s="325"/>
      <c r="B63" s="952"/>
      <c r="C63" s="26"/>
      <c r="D63" s="962"/>
      <c r="E63" s="946" t="s">
        <v>784</v>
      </c>
      <c r="F63" s="302">
        <f t="shared" ca="1" si="0"/>
        <v>0</v>
      </c>
      <c r="I63" s="1458" t="s">
        <v>860</v>
      </c>
      <c r="J63" s="1459">
        <v>70</v>
      </c>
      <c r="K63" s="1459">
        <v>50</v>
      </c>
      <c r="L63" s="1459">
        <v>80</v>
      </c>
      <c r="M63" s="1461">
        <v>0.02</v>
      </c>
      <c r="O63" s="1399" t="s">
        <v>861</v>
      </c>
      <c r="P63" s="1377"/>
      <c r="Q63" s="1377"/>
      <c r="R63" s="1377"/>
    </row>
    <row r="64" spans="1:18" s="1380" customFormat="1" ht="13.8" thickBot="1">
      <c r="A64" s="978" t="s">
        <v>785</v>
      </c>
      <c r="B64" s="946" t="s">
        <v>786</v>
      </c>
      <c r="C64" s="21">
        <f ca="1">ROUND(C57*F64,0)</f>
        <v>0</v>
      </c>
      <c r="D64" s="960" t="s">
        <v>787</v>
      </c>
      <c r="E64" s="946" t="s">
        <v>779</v>
      </c>
      <c r="F64" s="327">
        <f t="shared" ca="1" si="0"/>
        <v>0</v>
      </c>
      <c r="I64" s="1458" t="s">
        <v>862</v>
      </c>
      <c r="J64" s="1459">
        <v>50</v>
      </c>
      <c r="K64" s="1459">
        <v>35</v>
      </c>
      <c r="L64" s="1459">
        <v>60</v>
      </c>
      <c r="M64" s="1460">
        <v>0</v>
      </c>
      <c r="O64" s="1407" t="s">
        <v>807</v>
      </c>
      <c r="P64" s="1408" t="s">
        <v>808</v>
      </c>
      <c r="Q64" s="1409" t="s">
        <v>809</v>
      </c>
      <c r="R64" s="1409" t="s">
        <v>810</v>
      </c>
    </row>
    <row r="65" spans="1:18" s="1380" customFormat="1" ht="13.8" thickBot="1">
      <c r="A65" s="978" t="s">
        <v>788</v>
      </c>
      <c r="B65" s="946" t="s">
        <v>738</v>
      </c>
      <c r="C65" s="21">
        <f ca="1">ROUND(C56*F65,0)</f>
        <v>0</v>
      </c>
      <c r="D65" s="960" t="s">
        <v>739</v>
      </c>
      <c r="E65" s="946" t="s">
        <v>740</v>
      </c>
      <c r="F65" s="329">
        <f t="shared" ca="1" si="0"/>
        <v>0</v>
      </c>
      <c r="I65" s="1458" t="s">
        <v>863</v>
      </c>
      <c r="J65" s="1459">
        <v>40</v>
      </c>
      <c r="K65" s="1459">
        <v>30</v>
      </c>
      <c r="L65" s="1459">
        <v>50</v>
      </c>
      <c r="M65" s="1461">
        <v>0.02</v>
      </c>
      <c r="O65" s="1414" t="s">
        <v>403</v>
      </c>
      <c r="P65" s="1415" t="s">
        <v>864</v>
      </c>
      <c r="Q65" s="1416" t="e">
        <f ca="1">C40+J29</f>
        <v>#DIV/0!</v>
      </c>
      <c r="R65" s="1416" t="s">
        <v>814</v>
      </c>
    </row>
    <row r="66" spans="1:18" s="1380" customFormat="1" ht="16.2" thickBot="1">
      <c r="A66" s="978" t="s">
        <v>789</v>
      </c>
      <c r="B66" s="946" t="s">
        <v>724</v>
      </c>
      <c r="C66" s="21">
        <f ca="1">ROUND(C48*F66,0)</f>
        <v>0</v>
      </c>
      <c r="D66" s="960" t="s">
        <v>790</v>
      </c>
      <c r="E66" s="946" t="s">
        <v>708</v>
      </c>
      <c r="F66" s="311">
        <f t="shared" ca="1" si="0"/>
        <v>0</v>
      </c>
      <c r="O66" s="1414" t="s">
        <v>404</v>
      </c>
      <c r="P66" s="1415" t="s">
        <v>842</v>
      </c>
      <c r="Q66" s="1416" t="e">
        <f ca="1">L60</f>
        <v>#DIV/0!</v>
      </c>
      <c r="R66" s="1416" t="s">
        <v>865</v>
      </c>
    </row>
    <row r="67" spans="1:18" s="1380" customFormat="1" ht="24.6" thickBot="1">
      <c r="A67" s="953" t="s">
        <v>394</v>
      </c>
      <c r="B67" s="963" t="s">
        <v>748</v>
      </c>
      <c r="C67" s="315">
        <f ca="1">C48-C58</f>
        <v>0</v>
      </c>
      <c r="D67" s="959" t="s">
        <v>749</v>
      </c>
      <c r="E67" s="964"/>
      <c r="F67" s="965"/>
      <c r="O67" s="1424" t="s">
        <v>405</v>
      </c>
      <c r="P67" s="1415" t="s">
        <v>846</v>
      </c>
      <c r="Q67" s="1462">
        <f ca="1">L51</f>
        <v>0</v>
      </c>
      <c r="R67" s="1416" t="s">
        <v>866</v>
      </c>
    </row>
    <row r="68" spans="1:18" s="1380" customFormat="1" ht="16.2" thickBot="1">
      <c r="A68" s="943" t="s">
        <v>395</v>
      </c>
      <c r="B68" s="944" t="s">
        <v>770</v>
      </c>
      <c r="C68" s="300" t="e">
        <f ca="1">ROUND(C67*(1-((1+F70)/(1+F68))^F69)/(F68-F70),0)</f>
        <v>#DIV/0!</v>
      </c>
      <c r="D68" s="961" t="s">
        <v>754</v>
      </c>
      <c r="E68" s="946" t="s">
        <v>755</v>
      </c>
      <c r="F68" s="311">
        <f ca="1">F40</f>
        <v>0</v>
      </c>
      <c r="O68" s="1424" t="s">
        <v>406</v>
      </c>
      <c r="P68" s="1463" t="s">
        <v>867</v>
      </c>
      <c r="Q68" s="1416">
        <f ca="1">ROUND(Q69-Q70*Q71,0)</f>
        <v>0</v>
      </c>
      <c r="R68" s="1416" t="s">
        <v>414</v>
      </c>
    </row>
    <row r="69" spans="1:18" s="1380" customFormat="1" ht="13.8" thickBot="1">
      <c r="A69" s="947"/>
      <c r="B69" s="948"/>
      <c r="C69" s="305"/>
      <c r="D69" s="966" t="s">
        <v>758</v>
      </c>
      <c r="E69" s="946" t="s">
        <v>759</v>
      </c>
      <c r="F69" s="332">
        <f ca="1">F41</f>
        <v>0</v>
      </c>
      <c r="O69" s="1424" t="s">
        <v>411</v>
      </c>
      <c r="P69" s="1463" t="s">
        <v>868</v>
      </c>
      <c r="Q69" s="1416">
        <f ca="1">C39</f>
        <v>0</v>
      </c>
      <c r="R69" s="1416" t="s">
        <v>814</v>
      </c>
    </row>
    <row r="70" spans="1:18" s="1380" customFormat="1" ht="13.8" thickBot="1">
      <c r="A70" s="950"/>
      <c r="B70" s="951"/>
      <c r="C70" s="309"/>
      <c r="D70" s="962"/>
      <c r="E70" s="946" t="s">
        <v>762</v>
      </c>
      <c r="F70" s="1050"/>
      <c r="O70" s="1424" t="s">
        <v>412</v>
      </c>
      <c r="P70" s="1463" t="s">
        <v>869</v>
      </c>
      <c r="Q70" s="1416">
        <f ca="1">C13</f>
        <v>0</v>
      </c>
      <c r="R70" s="1416" t="s">
        <v>814</v>
      </c>
    </row>
    <row r="71" spans="1:18" s="1380" customFormat="1" ht="13.8" thickBot="1">
      <c r="A71" s="967" t="s">
        <v>396</v>
      </c>
      <c r="B71" s="968" t="s">
        <v>772</v>
      </c>
      <c r="C71" s="335" t="e">
        <f ca="1">ROUND(C68/F71,0)</f>
        <v>#DIV/0!</v>
      </c>
      <c r="D71" s="969" t="s">
        <v>773</v>
      </c>
      <c r="E71" s="970" t="s">
        <v>774</v>
      </c>
      <c r="F71" s="338">
        <f ca="1">F43</f>
        <v>0</v>
      </c>
      <c r="O71" s="1424" t="s">
        <v>413</v>
      </c>
      <c r="P71" s="1463" t="s">
        <v>870</v>
      </c>
      <c r="Q71" s="1427">
        <f ca="1">C76</f>
        <v>0</v>
      </c>
      <c r="R71" s="1416"/>
    </row>
    <row r="72" spans="1:18" s="1380" customFormat="1" ht="13.8" thickBot="1">
      <c r="B72" s="724"/>
      <c r="C72" s="724"/>
      <c r="O72" s="1424" t="s">
        <v>407</v>
      </c>
      <c r="P72" s="1415" t="s">
        <v>848</v>
      </c>
      <c r="Q72" s="1427">
        <f>L52</f>
        <v>0</v>
      </c>
      <c r="R72" s="1416"/>
    </row>
    <row r="73" spans="1:18" ht="16.2" thickBot="1">
      <c r="A73" s="1380"/>
      <c r="B73" s="724"/>
      <c r="C73" s="724"/>
      <c r="D73" s="1380"/>
      <c r="E73" s="1380"/>
      <c r="F73" s="1380"/>
      <c r="O73" s="1424" t="s">
        <v>408</v>
      </c>
      <c r="P73" s="1415" t="s">
        <v>851</v>
      </c>
      <c r="Q73" s="1416" t="e">
        <f ca="1">L58</f>
        <v>#DIV/0!</v>
      </c>
      <c r="R73" s="1416" t="s">
        <v>852</v>
      </c>
    </row>
    <row r="74" spans="1:18" ht="13.8"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8" thickBot="1">
      <c r="A75" s="1380"/>
      <c r="B75" s="339" t="s">
        <v>791</v>
      </c>
      <c r="C75" s="340">
        <f ca="1">ROUND(C13*C76,0)</f>
        <v>0</v>
      </c>
      <c r="D75" s="1380"/>
      <c r="E75" s="1380"/>
      <c r="F75" s="1380"/>
      <c r="K75" s="1398"/>
      <c r="L75" s="1380"/>
      <c r="O75" s="1414" t="s">
        <v>409</v>
      </c>
      <c r="P75" s="1415" t="s">
        <v>834</v>
      </c>
      <c r="Q75" s="1416" t="e">
        <f ca="1">Q65+Q66</f>
        <v>#DIV/0!</v>
      </c>
      <c r="R75" s="1416" t="s">
        <v>410</v>
      </c>
    </row>
    <row r="76" spans="1:18">
      <c r="B76" s="341" t="s">
        <v>792</v>
      </c>
      <c r="C76" s="342">
        <f ca="1">INDIRECT("'数据-取费表'!j"&amp;$G$1)</f>
        <v>0</v>
      </c>
      <c r="I76" s="1380"/>
      <c r="J76" s="1380"/>
      <c r="K76" s="1398"/>
      <c r="L76" s="1380"/>
    </row>
    <row r="77" spans="1:18">
      <c r="B77" s="343" t="s">
        <v>793</v>
      </c>
      <c r="C77" s="344"/>
      <c r="I77" s="1380"/>
      <c r="J77" s="1380"/>
      <c r="K77" s="1398"/>
      <c r="L77" s="1380"/>
    </row>
    <row r="78" spans="1:18">
      <c r="B78" s="269" t="s">
        <v>794</v>
      </c>
      <c r="C78" s="345"/>
    </row>
    <row r="79" spans="1:18">
      <c r="B79" s="339" t="s">
        <v>795</v>
      </c>
      <c r="C79" s="273" t="e">
        <f ca="1">1-C80</f>
        <v>#DIV/0!</v>
      </c>
    </row>
    <row r="80" spans="1:18">
      <c r="B80" s="339" t="s">
        <v>796</v>
      </c>
      <c r="C80" s="273" t="e">
        <f ca="1">ROUND(C75/C39,3)</f>
        <v>#DIV/0!</v>
      </c>
    </row>
    <row r="81" spans="2:3">
      <c r="B81" s="269" t="s">
        <v>797</v>
      </c>
      <c r="C81" s="237"/>
    </row>
    <row r="82" spans="2:3">
      <c r="B82" s="272" t="s">
        <v>798</v>
      </c>
      <c r="C82" s="274" t="e">
        <f ca="1">1-C83</f>
        <v>#DIV/0!</v>
      </c>
    </row>
    <row r="83" spans="2:3">
      <c r="B83" s="272" t="s">
        <v>799</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2" customHeight="1">
      <c r="A2" s="1381" t="s">
        <v>2313</v>
      </c>
      <c r="B2" s="2839" t="e">
        <f>IF(D2="——",C40,C40+E2)</f>
        <v>#DIV/0!</v>
      </c>
      <c r="C2" s="2840" t="s">
        <v>2314</v>
      </c>
      <c r="D2" s="3439" t="s">
        <v>3360</v>
      </c>
      <c r="E2" s="3440"/>
      <c r="F2" s="2842"/>
      <c r="G2" s="2843"/>
      <c r="H2" s="2844"/>
      <c r="I2" s="2845"/>
      <c r="J2" s="3804" t="s">
        <v>2315</v>
      </c>
      <c r="K2" s="3805"/>
      <c r="L2" s="2846" t="s">
        <v>2316</v>
      </c>
      <c r="M2" s="2846" t="s">
        <v>2317</v>
      </c>
      <c r="N2" s="2846" t="s">
        <v>2318</v>
      </c>
      <c r="O2" s="2846" t="s">
        <v>2319</v>
      </c>
      <c r="P2" s="2846" t="s">
        <v>2320</v>
      </c>
      <c r="Q2" s="2847" t="s">
        <v>2321</v>
      </c>
      <c r="R2" s="2848" t="s">
        <v>2322</v>
      </c>
      <c r="S2" s="2837"/>
      <c r="T2" s="2837"/>
      <c r="U2" s="2837"/>
      <c r="V2" s="2845"/>
    </row>
    <row r="3" spans="1:22" s="2849" customFormat="1" ht="13.2" customHeight="1">
      <c r="A3" s="2850" t="s">
        <v>2323</v>
      </c>
      <c r="B3" s="2851" t="e">
        <f>ROUND(B2*10000/B4,0)</f>
        <v>#DIV/0!</v>
      </c>
      <c r="C3" s="2840" t="s">
        <v>2324</v>
      </c>
      <c r="D3" s="2840"/>
      <c r="E3" s="2841"/>
      <c r="F3" s="2842"/>
      <c r="G3" s="2843"/>
      <c r="H3" s="2844"/>
      <c r="I3" s="2845"/>
      <c r="J3" s="3806" t="s">
        <v>2325</v>
      </c>
      <c r="K3" s="3807"/>
      <c r="L3" s="2852"/>
      <c r="M3" s="2852"/>
      <c r="N3" s="2852"/>
      <c r="O3" s="2852"/>
      <c r="P3" s="2852"/>
      <c r="Q3" s="2853"/>
      <c r="R3" s="2854">
        <f>SUM(L3:Q3)</f>
        <v>0</v>
      </c>
      <c r="S3" s="2837"/>
      <c r="T3" s="2837"/>
      <c r="U3" s="2837"/>
      <c r="V3" s="2845"/>
    </row>
    <row r="4" spans="1:22" s="2849" customFormat="1" ht="13.2" customHeight="1">
      <c r="A4" s="2855" t="s">
        <v>2326</v>
      </c>
      <c r="B4" s="2856"/>
      <c r="C4" s="2840"/>
      <c r="D4" s="2840"/>
      <c r="E4" s="2841"/>
      <c r="F4" s="2842"/>
      <c r="G4" s="2843"/>
      <c r="H4" s="2844"/>
      <c r="I4" s="2845"/>
      <c r="J4" s="3806" t="s">
        <v>2327</v>
      </c>
      <c r="K4" s="3807"/>
      <c r="L4" s="2857"/>
      <c r="M4" s="2857"/>
      <c r="N4" s="2857"/>
      <c r="O4" s="2857"/>
      <c r="P4" s="2857"/>
      <c r="Q4" s="2858"/>
      <c r="R4" s="2859">
        <f>SUM(L4:Q4)</f>
        <v>0</v>
      </c>
      <c r="S4" s="2837"/>
      <c r="T4" s="2837"/>
      <c r="U4" s="2837"/>
      <c r="V4" s="2845"/>
    </row>
    <row r="5" spans="1:22" s="2849" customFormat="1" ht="13.2"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2" customHeight="1" thickBot="1">
      <c r="A6" s="3808" t="s">
        <v>2331</v>
      </c>
      <c r="B6" s="3809"/>
      <c r="C6" s="3810"/>
      <c r="D6" s="2866"/>
      <c r="E6" s="2867"/>
      <c r="F6" s="2868"/>
      <c r="G6" s="2869"/>
      <c r="H6" s="2844"/>
      <c r="I6" s="2845"/>
      <c r="J6" s="3811">
        <v>1</v>
      </c>
      <c r="K6" s="3812"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2" customHeight="1">
      <c r="A7" s="2872" t="s">
        <v>2341</v>
      </c>
      <c r="B7" s="2873"/>
      <c r="C7" s="2874"/>
      <c r="D7" s="2875">
        <f>SUM(D9,D10,D11,D17,0)</f>
        <v>0</v>
      </c>
      <c r="E7" s="2876" t="e">
        <f>E9+E10+E11+E17</f>
        <v>#DIV/0!</v>
      </c>
      <c r="F7" s="2877"/>
      <c r="G7" s="2878"/>
      <c r="H7" s="2844"/>
      <c r="I7" s="2845"/>
      <c r="J7" s="3811"/>
      <c r="K7" s="3813"/>
      <c r="L7" s="2879" t="s">
        <v>2342</v>
      </c>
      <c r="M7" s="2880"/>
      <c r="N7" s="2856"/>
      <c r="O7" s="2881"/>
      <c r="P7" s="2881"/>
      <c r="Q7" s="2882">
        <v>365</v>
      </c>
      <c r="R7" s="2883">
        <f>ROUND(M7*N7*O7*P7*Q7/10000,0)</f>
        <v>0</v>
      </c>
      <c r="S7" s="2837"/>
      <c r="T7" s="2837" t="s">
        <v>2343</v>
      </c>
      <c r="U7" s="2837"/>
      <c r="V7" s="2845"/>
    </row>
    <row r="8" spans="1:22" s="2849" customFormat="1" ht="13.2" customHeight="1">
      <c r="A8" s="2884" t="s">
        <v>2344</v>
      </c>
      <c r="B8" s="3815" t="s">
        <v>2345</v>
      </c>
      <c r="C8" s="3816"/>
      <c r="D8" s="2885" t="s">
        <v>2346</v>
      </c>
      <c r="E8" s="2886" t="s">
        <v>2347</v>
      </c>
      <c r="F8" s="2887" t="s">
        <v>2348</v>
      </c>
      <c r="G8" s="2888"/>
      <c r="H8" s="2844"/>
      <c r="I8" s="2845"/>
      <c r="J8" s="3811"/>
      <c r="K8" s="3813"/>
      <c r="L8" s="2879" t="s">
        <v>2349</v>
      </c>
      <c r="M8" s="2880"/>
      <c r="N8" s="2856"/>
      <c r="O8" s="2881"/>
      <c r="P8" s="2881"/>
      <c r="Q8" s="2882">
        <v>365</v>
      </c>
      <c r="R8" s="2883">
        <f t="shared" ref="R8:R13" si="0">ROUND(M8*N8*O8*P8*Q8/10000,0)</f>
        <v>0</v>
      </c>
      <c r="S8" s="2837"/>
      <c r="T8" s="2837" t="s">
        <v>2350</v>
      </c>
      <c r="U8" s="2837"/>
      <c r="V8" s="2845"/>
    </row>
    <row r="9" spans="1:22" s="2849" customFormat="1" ht="13.2" customHeight="1">
      <c r="A9" s="2884">
        <v>1</v>
      </c>
      <c r="B9" s="3815" t="s">
        <v>2351</v>
      </c>
      <c r="C9" s="3816"/>
      <c r="D9" s="2885">
        <f>ROUND(D6*E9,0)</f>
        <v>0</v>
      </c>
      <c r="E9" s="2889"/>
      <c r="F9" s="2890" t="s">
        <v>2352</v>
      </c>
      <c r="G9" s="2869"/>
      <c r="H9" s="2844"/>
      <c r="I9" s="2845"/>
      <c r="J9" s="3811"/>
      <c r="K9" s="3813"/>
      <c r="L9" s="2879" t="s">
        <v>2353</v>
      </c>
      <c r="M9" s="2880"/>
      <c r="N9" s="2856"/>
      <c r="O9" s="2881"/>
      <c r="P9" s="2881"/>
      <c r="Q9" s="2882">
        <v>365</v>
      </c>
      <c r="R9" s="2883">
        <f t="shared" si="0"/>
        <v>0</v>
      </c>
      <c r="S9" s="2837"/>
      <c r="T9" s="2837"/>
      <c r="U9" s="2837"/>
      <c r="V9" s="2845"/>
    </row>
    <row r="10" spans="1:22" s="2849" customFormat="1" ht="13.2" customHeight="1">
      <c r="A10" s="2884">
        <v>2</v>
      </c>
      <c r="B10" s="3815" t="s">
        <v>2354</v>
      </c>
      <c r="C10" s="3816"/>
      <c r="D10" s="2885">
        <f>ROUND(D6*E10,0)</f>
        <v>0</v>
      </c>
      <c r="E10" s="2889"/>
      <c r="F10" s="2890" t="s">
        <v>2355</v>
      </c>
      <c r="G10" s="2869"/>
      <c r="H10" s="2844"/>
      <c r="I10" s="2845"/>
      <c r="J10" s="3811"/>
      <c r="K10" s="3813"/>
      <c r="L10" s="2879" t="s">
        <v>2356</v>
      </c>
      <c r="M10" s="2880"/>
      <c r="N10" s="2856"/>
      <c r="O10" s="2881"/>
      <c r="P10" s="2881"/>
      <c r="Q10" s="2882">
        <v>365</v>
      </c>
      <c r="R10" s="2883">
        <f t="shared" si="0"/>
        <v>0</v>
      </c>
      <c r="S10" s="2837"/>
      <c r="T10" s="2837"/>
      <c r="U10" s="2837"/>
      <c r="V10" s="2845"/>
    </row>
    <row r="11" spans="1:22" s="2849" customFormat="1" ht="13.2" customHeight="1">
      <c r="A11" s="2884">
        <v>3</v>
      </c>
      <c r="B11" s="3815" t="s">
        <v>2357</v>
      </c>
      <c r="C11" s="3816"/>
      <c r="D11" s="2885">
        <f>D12+D14+D15+D16</f>
        <v>0</v>
      </c>
      <c r="E11" s="2891" t="e">
        <f>D11/D6</f>
        <v>#DIV/0!</v>
      </c>
      <c r="F11" s="2887"/>
      <c r="G11" s="2888"/>
      <c r="H11" s="2844"/>
      <c r="I11" s="2845"/>
      <c r="J11" s="3811"/>
      <c r="K11" s="3813"/>
      <c r="L11" s="2879" t="s">
        <v>2358</v>
      </c>
      <c r="M11" s="2880"/>
      <c r="N11" s="2856"/>
      <c r="O11" s="2881"/>
      <c r="P11" s="2881"/>
      <c r="Q11" s="2882">
        <v>365</v>
      </c>
      <c r="R11" s="2883">
        <f t="shared" si="0"/>
        <v>0</v>
      </c>
      <c r="S11" s="2837"/>
      <c r="T11" s="2837"/>
      <c r="U11" s="2837"/>
      <c r="V11" s="2845"/>
    </row>
    <row r="12" spans="1:22" s="2849" customFormat="1" ht="13.2" customHeight="1">
      <c r="A12" s="2892" t="s">
        <v>2359</v>
      </c>
      <c r="B12" s="3817" t="s">
        <v>2360</v>
      </c>
      <c r="C12" s="3818"/>
      <c r="D12" s="2893">
        <f>ROUND(D13*1.2%*(1-30%),0)</f>
        <v>0</v>
      </c>
      <c r="E12" s="2894">
        <v>1.2E-2</v>
      </c>
      <c r="F12" s="2887" t="s">
        <v>2361</v>
      </c>
      <c r="G12" s="2888"/>
      <c r="H12" s="2844"/>
      <c r="I12" s="2845"/>
      <c r="J12" s="3811"/>
      <c r="K12" s="3813"/>
      <c r="L12" s="2879" t="s">
        <v>2362</v>
      </c>
      <c r="M12" s="2880"/>
      <c r="N12" s="2856"/>
      <c r="O12" s="2881"/>
      <c r="P12" s="2881"/>
      <c r="Q12" s="2882">
        <v>365</v>
      </c>
      <c r="R12" s="2883">
        <f t="shared" si="0"/>
        <v>0</v>
      </c>
      <c r="S12" s="2837"/>
      <c r="T12" s="2837"/>
      <c r="U12" s="2837"/>
      <c r="V12" s="2845"/>
    </row>
    <row r="13" spans="1:22" s="2849" customFormat="1" ht="13.2" customHeight="1">
      <c r="A13" s="2892"/>
      <c r="B13" s="2895"/>
      <c r="C13" s="2896" t="s">
        <v>2363</v>
      </c>
      <c r="D13" s="2897"/>
      <c r="E13" s="2898"/>
      <c r="F13" s="2887"/>
      <c r="G13" s="2888"/>
      <c r="H13" s="2844"/>
      <c r="I13" s="2845"/>
      <c r="J13" s="3811"/>
      <c r="K13" s="3813"/>
      <c r="L13" s="2879" t="s">
        <v>2364</v>
      </c>
      <c r="M13" s="2880"/>
      <c r="N13" s="2856"/>
      <c r="O13" s="2881"/>
      <c r="P13" s="2881"/>
      <c r="Q13" s="2882">
        <v>365</v>
      </c>
      <c r="R13" s="2883">
        <f t="shared" si="0"/>
        <v>0</v>
      </c>
      <c r="S13" s="2837"/>
      <c r="T13" s="2837"/>
      <c r="U13" s="2837"/>
      <c r="V13" s="2845"/>
    </row>
    <row r="14" spans="1:22" s="2849" customFormat="1" ht="13.2" customHeight="1">
      <c r="A14" s="2892" t="s">
        <v>2365</v>
      </c>
      <c r="B14" s="3817" t="s">
        <v>2366</v>
      </c>
      <c r="C14" s="3818"/>
      <c r="D14" s="2893">
        <f>ROUND(E14*B5/10000,0)</f>
        <v>0</v>
      </c>
      <c r="E14" s="2882"/>
      <c r="F14" s="2887" t="s">
        <v>2367</v>
      </c>
      <c r="G14" s="2888"/>
      <c r="H14" s="2844"/>
      <c r="I14" s="2845"/>
      <c r="J14" s="3811"/>
      <c r="K14" s="3814"/>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2369</v>
      </c>
      <c r="B15" s="3817" t="s">
        <v>2370</v>
      </c>
      <c r="C15" s="3818"/>
      <c r="D15" s="2893">
        <f>ROUND(D6*E15,0)</f>
        <v>0</v>
      </c>
      <c r="E15" s="2894">
        <v>5.5E-2</v>
      </c>
      <c r="F15" s="2887" t="s">
        <v>2371</v>
      </c>
      <c r="G15" s="2869"/>
      <c r="H15" s="2844"/>
      <c r="I15" s="2845"/>
      <c r="J15" s="3811">
        <v>2</v>
      </c>
      <c r="K15" s="3812"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2" customHeight="1">
      <c r="A16" s="2892" t="s">
        <v>2378</v>
      </c>
      <c r="B16" s="3817" t="s">
        <v>2379</v>
      </c>
      <c r="C16" s="3818"/>
      <c r="D16" s="2904">
        <f>D6*E16</f>
        <v>0</v>
      </c>
      <c r="E16" s="2905"/>
      <c r="F16" s="2890" t="s">
        <v>2380</v>
      </c>
      <c r="G16" s="2869"/>
      <c r="H16" s="2844"/>
      <c r="I16" s="2845"/>
      <c r="J16" s="3811"/>
      <c r="K16" s="3813"/>
      <c r="L16" s="2879" t="s">
        <v>2381</v>
      </c>
      <c r="M16" s="2880"/>
      <c r="N16" s="2880"/>
      <c r="O16" s="2881"/>
      <c r="P16" s="2882">
        <v>365</v>
      </c>
      <c r="Q16" s="2856"/>
      <c r="R16" s="2903">
        <f>ROUND(M16*N16*O16*P16/10000,0)</f>
        <v>0</v>
      </c>
      <c r="S16" s="2837"/>
      <c r="T16" s="2837"/>
      <c r="U16" s="2837"/>
      <c r="V16" s="2845"/>
    </row>
    <row r="17" spans="1:22" s="2849" customFormat="1" ht="13.2" customHeight="1" thickBot="1">
      <c r="A17" s="2906">
        <v>4</v>
      </c>
      <c r="B17" s="3819" t="s">
        <v>2382</v>
      </c>
      <c r="C17" s="3820"/>
      <c r="D17" s="2907">
        <f>ROUND(D6*E17,0)</f>
        <v>0</v>
      </c>
      <c r="E17" s="2908"/>
      <c r="F17" s="2909" t="s">
        <v>2383</v>
      </c>
      <c r="G17" s="2869"/>
      <c r="H17" s="2844"/>
      <c r="I17" s="2845"/>
      <c r="J17" s="3811"/>
      <c r="K17" s="3813"/>
      <c r="L17" s="2879" t="s">
        <v>2384</v>
      </c>
      <c r="M17" s="2880"/>
      <c r="N17" s="2880"/>
      <c r="O17" s="2881"/>
      <c r="P17" s="2882">
        <v>365</v>
      </c>
      <c r="Q17" s="2856"/>
      <c r="R17" s="2903">
        <f>ROUND(M17*N17*O17*P17/10000,0)</f>
        <v>0</v>
      </c>
      <c r="S17" s="2837"/>
      <c r="T17" s="2837"/>
      <c r="U17" s="2837"/>
      <c r="V17" s="2845"/>
    </row>
    <row r="18" spans="1:22" s="2849" customFormat="1" ht="13.2" customHeight="1" thickBot="1">
      <c r="A18" s="2872" t="s">
        <v>2385</v>
      </c>
      <c r="B18" s="2873"/>
      <c r="C18" s="2873"/>
      <c r="D18" s="2910">
        <f>ROUND(D6*E18,0)</f>
        <v>0</v>
      </c>
      <c r="E18" s="2911"/>
      <c r="F18" s="2912" t="s">
        <v>2386</v>
      </c>
      <c r="G18" s="2869"/>
      <c r="H18" s="2844"/>
      <c r="I18" s="2845"/>
      <c r="J18" s="3811"/>
      <c r="K18" s="3813"/>
      <c r="L18" s="2879" t="s">
        <v>2387</v>
      </c>
      <c r="M18" s="2880"/>
      <c r="N18" s="2880"/>
      <c r="O18" s="2881"/>
      <c r="P18" s="2882">
        <v>365</v>
      </c>
      <c r="Q18" s="2856"/>
      <c r="R18" s="2903">
        <f>ROUND(M18*N18*O18*P18/10000,0)</f>
        <v>0</v>
      </c>
      <c r="S18" s="2837"/>
      <c r="T18" s="2837"/>
      <c r="U18" s="2837"/>
      <c r="V18" s="2845"/>
    </row>
    <row r="19" spans="1:22" s="2849" customFormat="1" ht="13.2" customHeight="1" thickBot="1">
      <c r="A19" s="2913" t="s">
        <v>2388</v>
      </c>
      <c r="B19" s="2867"/>
      <c r="C19" s="2867"/>
      <c r="D19" s="2867"/>
      <c r="E19" s="2867"/>
      <c r="F19" s="2868"/>
      <c r="G19" s="2888"/>
      <c r="H19" s="2844"/>
      <c r="I19" s="2845"/>
      <c r="J19" s="3811"/>
      <c r="K19" s="3814"/>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811">
        <v>3</v>
      </c>
      <c r="K20" s="3812"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2" customHeight="1">
      <c r="A21" s="2872"/>
      <c r="B21" s="2873"/>
      <c r="C21" s="2919" t="s">
        <v>2397</v>
      </c>
      <c r="D21" s="2920" t="s">
        <v>2398</v>
      </c>
      <c r="E21" s="2921" t="s">
        <v>2399</v>
      </c>
      <c r="F21" s="2916"/>
      <c r="G21" s="2888"/>
      <c r="H21" s="2844"/>
      <c r="I21" s="2845"/>
      <c r="J21" s="3811"/>
      <c r="K21" s="3813"/>
      <c r="L21" s="2879" t="s">
        <v>2400</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2401</v>
      </c>
      <c r="D22" s="2924" t="s">
        <v>2402</v>
      </c>
      <c r="E22" s="2925" t="s">
        <v>2403</v>
      </c>
      <c r="F22" s="2916"/>
      <c r="G22" s="2926"/>
      <c r="H22" s="2844"/>
      <c r="I22" s="2845"/>
      <c r="J22" s="3811"/>
      <c r="K22" s="3813"/>
      <c r="L22" s="2879" t="s">
        <v>2404</v>
      </c>
      <c r="M22" s="2880"/>
      <c r="N22" s="2880"/>
      <c r="O22" s="2881"/>
      <c r="P22" s="2882">
        <v>365</v>
      </c>
      <c r="Q22" s="2856"/>
      <c r="R22" s="2922">
        <f>ROUND(M22*N22*O22*P22/10000,0)</f>
        <v>0</v>
      </c>
      <c r="S22" s="2918"/>
      <c r="T22" s="2918"/>
      <c r="U22" s="2918"/>
      <c r="V22" s="2845"/>
    </row>
    <row r="23" spans="1:22" s="2849" customFormat="1" ht="13.2" customHeight="1">
      <c r="A23" s="2927">
        <v>1</v>
      </c>
      <c r="B23" s="2928" t="s">
        <v>2405</v>
      </c>
      <c r="C23" s="2929">
        <f>D6</f>
        <v>0</v>
      </c>
      <c r="D23" s="2930">
        <f>C23*(1+D24)</f>
        <v>0</v>
      </c>
      <c r="E23" s="2931">
        <f>D23*(1+E24)</f>
        <v>0</v>
      </c>
      <c r="F23" s="2932"/>
      <c r="G23" s="2933"/>
      <c r="H23" s="2844"/>
      <c r="I23" s="2845"/>
      <c r="J23" s="3811"/>
      <c r="K23" s="3813"/>
      <c r="L23" s="2879" t="s">
        <v>2406</v>
      </c>
      <c r="M23" s="2880"/>
      <c r="N23" s="2880"/>
      <c r="O23" s="2881"/>
      <c r="P23" s="2882">
        <v>365</v>
      </c>
      <c r="Q23" s="2856"/>
      <c r="R23" s="2922">
        <f>ROUND(M23*N23*O23*P23/10000,0)</f>
        <v>0</v>
      </c>
      <c r="S23" s="2837"/>
      <c r="T23" s="2837"/>
      <c r="U23" s="2837"/>
      <c r="V23" s="2845"/>
    </row>
    <row r="24" spans="1:22" s="2849" customFormat="1" ht="13.2" customHeight="1">
      <c r="A24" s="2934"/>
      <c r="B24" s="2935" t="s">
        <v>2407</v>
      </c>
      <c r="C24" s="2936"/>
      <c r="D24" s="2937"/>
      <c r="E24" s="2938"/>
      <c r="F24" s="2939"/>
      <c r="G24" s="2933"/>
      <c r="H24" s="2844"/>
      <c r="I24" s="2845"/>
      <c r="J24" s="3811"/>
      <c r="K24" s="3814"/>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2" customHeight="1">
      <c r="A26" s="2927">
        <v>2</v>
      </c>
      <c r="B26" s="2928" t="s">
        <v>2409</v>
      </c>
      <c r="C26" s="2929">
        <f>D7</f>
        <v>0</v>
      </c>
      <c r="D26" s="2930">
        <f>D23*D27</f>
        <v>0</v>
      </c>
      <c r="E26" s="2931">
        <f>E23*E27</f>
        <v>0</v>
      </c>
      <c r="F26" s="2932"/>
      <c r="G26" s="2933"/>
      <c r="H26" s="2844"/>
      <c r="I26" s="2845"/>
      <c r="J26" s="3821">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2" customHeight="1">
      <c r="A27" s="2934"/>
      <c r="B27" s="2935" t="s">
        <v>2415</v>
      </c>
      <c r="C27" s="2953" t="e">
        <f>E7</f>
        <v>#DIV/0!</v>
      </c>
      <c r="D27" s="2937"/>
      <c r="E27" s="2938"/>
      <c r="F27" s="2939"/>
      <c r="G27" s="2933"/>
      <c r="H27" s="2954"/>
      <c r="I27" s="2945"/>
      <c r="J27" s="3822"/>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2"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2" customHeight="1">
      <c r="A32" s="2927">
        <v>4</v>
      </c>
      <c r="B32" s="2928" t="s">
        <v>2423</v>
      </c>
      <c r="C32" s="2929">
        <f>C23-C26-C29</f>
        <v>0</v>
      </c>
      <c r="D32" s="2930">
        <f>D23-D26-D29</f>
        <v>0</v>
      </c>
      <c r="E32" s="2931">
        <f>E23-E26-E29</f>
        <v>0</v>
      </c>
      <c r="F32" s="2932"/>
      <c r="G32" s="2926"/>
      <c r="H32" s="2844"/>
      <c r="I32" s="2845"/>
      <c r="J32" s="3804" t="s">
        <v>2315</v>
      </c>
      <c r="K32" s="3805"/>
      <c r="L32" s="2846" t="s">
        <v>2316</v>
      </c>
      <c r="M32" s="2846" t="s">
        <v>2317</v>
      </c>
      <c r="N32" s="2846" t="s">
        <v>2318</v>
      </c>
      <c r="O32" s="2846" t="s">
        <v>2319</v>
      </c>
      <c r="P32" s="2846" t="s">
        <v>2320</v>
      </c>
      <c r="Q32" s="2847" t="s">
        <v>2321</v>
      </c>
      <c r="R32" s="2969" t="s">
        <v>2322</v>
      </c>
      <c r="S32" s="2918"/>
      <c r="T32" s="2837"/>
      <c r="U32" s="2837"/>
      <c r="V32" s="2945"/>
    </row>
    <row r="33" spans="1:23" s="2849" customFormat="1" ht="13.2" customHeight="1">
      <c r="A33" s="2927"/>
      <c r="B33" s="2928"/>
      <c r="C33" s="2929"/>
      <c r="D33" s="2970"/>
      <c r="E33" s="2971"/>
      <c r="F33" s="2932"/>
      <c r="G33" s="2926"/>
      <c r="H33" s="2954"/>
      <c r="I33" s="2945"/>
      <c r="J33" s="3806" t="s">
        <v>2325</v>
      </c>
      <c r="K33" s="3807"/>
      <c r="L33" s="2852"/>
      <c r="M33" s="2852"/>
      <c r="N33" s="2852"/>
      <c r="O33" s="2852"/>
      <c r="P33" s="2852"/>
      <c r="Q33" s="2853"/>
      <c r="R33" s="2972">
        <f>SUM(L33:Q33)</f>
        <v>0</v>
      </c>
      <c r="S33" s="2918"/>
      <c r="T33" s="2837"/>
      <c r="U33" s="2837"/>
      <c r="V33" s="2845"/>
    </row>
    <row r="34" spans="1:23" s="2849" customFormat="1" ht="13.2" customHeight="1">
      <c r="A34" s="2927">
        <v>5</v>
      </c>
      <c r="B34" s="2928" t="s">
        <v>2424</v>
      </c>
      <c r="C34" s="2973"/>
      <c r="D34" s="2974"/>
      <c r="E34" s="2975"/>
      <c r="F34" s="2932"/>
      <c r="G34" s="2926"/>
      <c r="H34" s="2954"/>
      <c r="I34" s="2945"/>
      <c r="J34" s="3806" t="s">
        <v>2327</v>
      </c>
      <c r="K34" s="3807"/>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2" customHeight="1" thickBot="1">
      <c r="A36" s="2927">
        <v>7</v>
      </c>
      <c r="B36" s="2982" t="s">
        <v>2426</v>
      </c>
      <c r="C36" s="2983"/>
      <c r="D36" s="2984"/>
      <c r="E36" s="2985"/>
      <c r="F36" s="2986">
        <f>C36+D36+E36</f>
        <v>0</v>
      </c>
      <c r="G36" s="2926"/>
      <c r="H36" s="2844"/>
      <c r="I36" s="2845"/>
      <c r="J36" s="3811">
        <v>1</v>
      </c>
      <c r="K36" s="3812" t="s">
        <v>2427</v>
      </c>
      <c r="L36" s="2870"/>
      <c r="M36" s="2871"/>
      <c r="N36" s="2871"/>
      <c r="O36" s="2871"/>
      <c r="P36" s="2871"/>
      <c r="Q36" s="2871"/>
      <c r="R36" s="2854" t="s">
        <v>2339</v>
      </c>
      <c r="S36" s="2918"/>
      <c r="T36" s="2837" t="s">
        <v>2340</v>
      </c>
      <c r="U36" s="2837"/>
      <c r="V36" s="2845"/>
    </row>
    <row r="37" spans="1:23" s="2849" customFormat="1" ht="13.2" customHeight="1">
      <c r="A37" s="2927"/>
      <c r="B37" s="2928"/>
      <c r="C37" s="2928"/>
      <c r="D37" s="2928"/>
      <c r="E37" s="2928"/>
      <c r="F37" s="2932"/>
      <c r="G37" s="2926"/>
      <c r="H37" s="2844"/>
      <c r="I37" s="2845"/>
      <c r="J37" s="3811"/>
      <c r="K37" s="3813"/>
      <c r="L37" s="2879"/>
      <c r="M37" s="2880"/>
      <c r="N37" s="2856"/>
      <c r="O37" s="2881"/>
      <c r="P37" s="2881"/>
      <c r="Q37" s="2882"/>
      <c r="R37" s="2883"/>
      <c r="S37" s="2918"/>
      <c r="T37" s="2837" t="s">
        <v>2343</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811"/>
      <c r="K38" s="3813"/>
      <c r="L38" s="2879"/>
      <c r="M38" s="2880"/>
      <c r="N38" s="2856"/>
      <c r="O38" s="2881"/>
      <c r="P38" s="2881"/>
      <c r="Q38" s="2882"/>
      <c r="R38" s="2883"/>
      <c r="S38" s="2918"/>
      <c r="T38" s="2837" t="s">
        <v>2350</v>
      </c>
      <c r="U38" s="2837"/>
      <c r="V38" s="2845"/>
    </row>
    <row r="39" spans="1:23" s="2849" customFormat="1" ht="13.2" customHeight="1">
      <c r="A39" s="2927">
        <v>9</v>
      </c>
      <c r="B39" s="2928" t="s">
        <v>2428</v>
      </c>
      <c r="C39" s="2893" t="e">
        <f>C38</f>
        <v>#DIV/0!</v>
      </c>
      <c r="D39" s="2928">
        <f>D38/(1+D34)^C36</f>
        <v>0</v>
      </c>
      <c r="E39" s="2928">
        <f>E38/(1+E34)^(C36+D36)</f>
        <v>0</v>
      </c>
      <c r="F39" s="2932"/>
      <c r="G39" s="2987"/>
      <c r="H39" s="2844"/>
      <c r="I39" s="2845"/>
      <c r="J39" s="3811"/>
      <c r="K39" s="3813"/>
      <c r="L39" s="2879"/>
      <c r="M39" s="2880"/>
      <c r="N39" s="2856"/>
      <c r="O39" s="2881"/>
      <c r="P39" s="2881"/>
      <c r="Q39" s="2882"/>
      <c r="R39" s="2883"/>
      <c r="S39" s="2918"/>
      <c r="T39" s="2837"/>
      <c r="U39" s="2837"/>
      <c r="V39" s="2845"/>
    </row>
    <row r="40" spans="1:23" s="2849" customFormat="1" ht="13.2" customHeight="1">
      <c r="A40" s="2988">
        <v>10</v>
      </c>
      <c r="B40" s="2928" t="s">
        <v>2429</v>
      </c>
      <c r="C40" s="2989" t="e">
        <f>C39+D39+E39</f>
        <v>#DIV/0!</v>
      </c>
      <c r="D40" s="2990"/>
      <c r="E40" s="2990"/>
      <c r="F40" s="2991"/>
      <c r="G40" s="2926"/>
      <c r="H40" s="2844"/>
      <c r="I40" s="2845"/>
      <c r="J40" s="3811"/>
      <c r="K40" s="3814"/>
      <c r="L40" s="2899" t="s">
        <v>2368</v>
      </c>
      <c r="M40" s="2900"/>
      <c r="N40" s="2900"/>
      <c r="O40" s="2901"/>
      <c r="P40" s="2901"/>
      <c r="Q40" s="2902"/>
      <c r="R40" s="2848">
        <f>SUM(R37:R39)</f>
        <v>0</v>
      </c>
      <c r="S40" s="2918"/>
      <c r="T40" s="2837"/>
      <c r="U40" s="2837"/>
      <c r="V40" s="2845"/>
    </row>
    <row r="41" spans="1:23" s="2849" customFormat="1" ht="13.2"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2" customHeight="1">
      <c r="G42" s="2996"/>
      <c r="H42" s="2844"/>
      <c r="I42" s="2845"/>
      <c r="J42" s="3821">
        <v>3</v>
      </c>
      <c r="K42" s="2947" t="s">
        <v>2410</v>
      </c>
      <c r="L42" s="2948"/>
      <c r="M42" s="2949"/>
      <c r="N42" s="2950" t="s">
        <v>2411</v>
      </c>
      <c r="O42" s="2950" t="s">
        <v>2412</v>
      </c>
      <c r="P42" s="2951" t="s">
        <v>2413</v>
      </c>
      <c r="Q42" s="2951" t="s">
        <v>2414</v>
      </c>
      <c r="R42" s="2854" t="s">
        <v>2339</v>
      </c>
      <c r="S42" s="2952"/>
      <c r="T42" s="2952"/>
      <c r="U42" s="2837"/>
      <c r="V42" s="2845"/>
    </row>
    <row r="43" spans="1:23" ht="13.2" customHeight="1">
      <c r="A43" s="2849"/>
      <c r="B43" s="2849"/>
      <c r="C43" s="2849"/>
      <c r="D43" s="2849"/>
      <c r="E43" s="2849"/>
      <c r="F43" s="2849"/>
      <c r="I43" s="2832"/>
      <c r="J43" s="3822"/>
      <c r="K43" s="2955"/>
      <c r="L43" s="2956"/>
      <c r="M43" s="2957"/>
      <c r="N43" s="2880"/>
      <c r="O43" s="2880"/>
      <c r="P43" s="2880"/>
      <c r="Q43" s="2944"/>
      <c r="R43" s="2915">
        <f>ROUND(O43*N43*P43*(1-Q43)/10000,0)</f>
        <v>0</v>
      </c>
      <c r="S43" s="2918"/>
      <c r="T43" s="2837"/>
      <c r="V43" s="2998"/>
      <c r="W43" s="2999"/>
    </row>
    <row r="44" spans="1:23" ht="13.2"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1654</v>
      </c>
      <c r="B1" s="1864"/>
      <c r="C1" s="1864"/>
      <c r="D1" s="1864"/>
      <c r="E1" s="1865"/>
      <c r="F1" s="2703"/>
      <c r="G1" s="1485"/>
      <c r="H1" s="1485"/>
      <c r="I1" s="1485"/>
      <c r="J1" s="1485"/>
      <c r="K1" s="1485"/>
      <c r="L1" s="1485"/>
      <c r="M1" s="1485"/>
      <c r="N1" s="1485"/>
      <c r="O1" s="1485"/>
      <c r="P1" s="1485"/>
      <c r="Q1" s="1485"/>
      <c r="R1" s="1485"/>
      <c r="S1" s="1485"/>
    </row>
    <row r="2" spans="1:22" ht="15.6">
      <c r="A2" s="1866" t="s">
        <v>1458</v>
      </c>
      <c r="B2" s="1867">
        <f ca="1">SUMIF(B6:B13,"&lt;&gt;#ref!",B6:B13)</f>
        <v>194255</v>
      </c>
      <c r="C2" s="1868" t="s">
        <v>1647</v>
      </c>
      <c r="D2" s="1869" t="s">
        <v>1648</v>
      </c>
      <c r="E2" s="2603">
        <f>SUM(E6:E13)</f>
        <v>99232.33</v>
      </c>
      <c r="F2" s="2703"/>
      <c r="G2" s="1485"/>
      <c r="H2" s="1485"/>
      <c r="I2" s="1485"/>
      <c r="J2" s="1485"/>
      <c r="K2" s="1485"/>
      <c r="L2" s="1485"/>
      <c r="M2" s="1485"/>
      <c r="N2" s="1485"/>
      <c r="O2" s="1485"/>
      <c r="P2" s="1485"/>
      <c r="Q2" s="1485"/>
      <c r="R2" s="1485"/>
      <c r="S2" s="1485"/>
    </row>
    <row r="3" spans="1:22" ht="15.6">
      <c r="A3" s="1866" t="s">
        <v>682</v>
      </c>
      <c r="B3" s="2597">
        <f ca="1">ROUND(B2*10000/E2,0)</f>
        <v>19576</v>
      </c>
      <c r="C3" s="1868" t="s">
        <v>1655</v>
      </c>
      <c r="D3" s="2705"/>
      <c r="E3" s="2707"/>
      <c r="F3" s="2703"/>
      <c r="G3" s="1485"/>
      <c r="H3" s="1485"/>
      <c r="I3" s="1485"/>
      <c r="J3" s="1485"/>
      <c r="K3" s="1485"/>
      <c r="L3" s="1485"/>
      <c r="M3" s="1485"/>
      <c r="N3" s="1485"/>
      <c r="O3" s="1485"/>
      <c r="P3" s="1485"/>
      <c r="Q3" s="1485"/>
      <c r="R3" s="1485"/>
      <c r="S3" s="1485"/>
    </row>
    <row r="4" spans="1:22" ht="15.6">
      <c r="A4" s="2708"/>
      <c r="B4" s="2705"/>
      <c r="C4" s="2705"/>
      <c r="D4" s="2705"/>
      <c r="E4" s="2707"/>
      <c r="F4" s="2703"/>
      <c r="G4" s="1485"/>
      <c r="H4" s="1485"/>
      <c r="I4" s="1485"/>
      <c r="J4" s="1485"/>
      <c r="K4" s="1485"/>
      <c r="L4" s="1485"/>
      <c r="M4" s="1485"/>
      <c r="N4" s="1485"/>
      <c r="O4" s="1485"/>
      <c r="P4" s="1485"/>
      <c r="Q4" s="1485"/>
      <c r="R4" s="1485"/>
      <c r="S4" s="1485"/>
    </row>
    <row r="5" spans="1:22" ht="14.4">
      <c r="A5" s="2599" t="s">
        <v>1649</v>
      </c>
      <c r="B5" s="3823" t="s">
        <v>1650</v>
      </c>
      <c r="C5" s="3824"/>
      <c r="D5" s="2704"/>
      <c r="E5" s="1870" t="s">
        <v>1651</v>
      </c>
      <c r="F5" s="1871" t="s">
        <v>1652</v>
      </c>
      <c r="G5" s="1485"/>
      <c r="H5" s="1485"/>
      <c r="I5" s="1485"/>
      <c r="J5" s="1485"/>
      <c r="K5" s="1485"/>
      <c r="L5" s="1485"/>
      <c r="M5" s="1485"/>
      <c r="N5" s="1485"/>
      <c r="O5" s="1485"/>
      <c r="P5" s="1485"/>
      <c r="Q5" s="1485"/>
      <c r="R5" s="1485"/>
      <c r="S5" s="1485"/>
    </row>
    <row r="6" spans="1:22" ht="14.4">
      <c r="A6" s="2600" t="str">
        <f>'数据-取费表'!AN6</f>
        <v>收益法</v>
      </c>
      <c r="B6" s="2598">
        <f ca="1">IF(F6="是",'数据-取费表'!AO6,0)</f>
        <v>88595</v>
      </c>
      <c r="C6" s="1868" t="s">
        <v>1647</v>
      </c>
      <c r="D6" s="2705"/>
      <c r="E6" s="2602">
        <f>IF(OR(A6=0,F6="否"),0,'数据-取费表'!K6+'数据-取费表'!S6)</f>
        <v>19830.27</v>
      </c>
      <c r="F6" s="1872" t="s">
        <v>1653</v>
      </c>
      <c r="G6" s="1485"/>
      <c r="H6" s="1485"/>
      <c r="I6" s="1485"/>
      <c r="J6" s="1485"/>
      <c r="K6" s="1485"/>
      <c r="L6" s="1485"/>
      <c r="M6" s="1485"/>
      <c r="N6" s="1485"/>
      <c r="O6" s="1485"/>
      <c r="P6" s="1485"/>
      <c r="Q6" s="1485"/>
      <c r="R6" s="1485"/>
      <c r="S6" s="1485"/>
    </row>
    <row r="7" spans="1:22" ht="14.4">
      <c r="A7" s="2600" t="str">
        <f>'数据-取费表'!AN7</f>
        <v>收益法-地下商业1</v>
      </c>
      <c r="B7" s="2598">
        <f ca="1">IF(F7="是",'数据-取费表'!AO7,0)</f>
        <v>60200</v>
      </c>
      <c r="C7" s="1868" t="s">
        <v>1647</v>
      </c>
      <c r="D7" s="2705"/>
      <c r="E7" s="2602">
        <f>IF(OR(A7=0,F7="否"),0,'数据-取费表'!K7+'数据-取费表'!S7)</f>
        <v>31986.760000000002</v>
      </c>
      <c r="F7" s="1872" t="s">
        <v>1653</v>
      </c>
      <c r="G7" s="1485"/>
      <c r="H7" s="1485"/>
      <c r="I7" s="1485"/>
      <c r="J7" s="1485"/>
      <c r="K7" s="1485"/>
      <c r="L7" s="1485"/>
      <c r="M7" s="1485"/>
      <c r="N7" s="1485"/>
      <c r="O7" s="1485"/>
      <c r="P7" s="1485"/>
      <c r="Q7" s="1485"/>
      <c r="R7" s="1485"/>
      <c r="S7" s="1485"/>
    </row>
    <row r="8" spans="1:22" ht="14.4">
      <c r="A8" s="2600" t="str">
        <f>'数据-取费表'!AN8</f>
        <v>收益法-地下车库</v>
      </c>
      <c r="B8" s="2598">
        <f ca="1">IF(F8="是",'数据-取费表'!AO8,0)</f>
        <v>15069</v>
      </c>
      <c r="C8" s="1868" t="s">
        <v>1647</v>
      </c>
      <c r="D8" s="2705"/>
      <c r="E8" s="2602">
        <f>IF(OR(A8=0,F8="否"),0,'数据-取费表'!K8+'数据-取费表'!S8)</f>
        <v>30659.07</v>
      </c>
      <c r="F8" s="1872" t="s">
        <v>1653</v>
      </c>
      <c r="G8" s="1485"/>
      <c r="H8" s="1485"/>
      <c r="I8" s="1485"/>
      <c r="J8" s="1485"/>
      <c r="K8" s="1485"/>
      <c r="L8" s="1485"/>
      <c r="M8" s="1485"/>
      <c r="N8" s="1485"/>
      <c r="O8" s="1485"/>
      <c r="P8" s="1485"/>
      <c r="Q8" s="1485"/>
      <c r="R8" s="1485"/>
      <c r="S8" s="1485"/>
    </row>
    <row r="9" spans="1:22" ht="14.4">
      <c r="A9" s="2600" t="str">
        <f>'数据-取费表'!AN9</f>
        <v>收益法-地下商业2</v>
      </c>
      <c r="B9" s="2598">
        <f ca="1">IF(F9="是",'数据-取费表'!AO9,0)</f>
        <v>30391</v>
      </c>
      <c r="C9" s="1868" t="s">
        <v>1647</v>
      </c>
      <c r="D9" s="2705"/>
      <c r="E9" s="2602">
        <f>IF(OR(A9=0,F9="否"),0,'数据-取费表'!K9+'数据-取费表'!S9)</f>
        <v>16756.23</v>
      </c>
      <c r="F9" s="1872" t="s">
        <v>1653</v>
      </c>
      <c r="G9" s="1485"/>
      <c r="H9" s="1485"/>
      <c r="I9" s="1485"/>
      <c r="J9" s="1485"/>
      <c r="K9" s="1485"/>
      <c r="L9" s="1485"/>
      <c r="M9" s="1485"/>
      <c r="N9" s="1485"/>
      <c r="O9" s="1485"/>
      <c r="P9" s="1485"/>
      <c r="Q9" s="1485"/>
      <c r="R9" s="1485"/>
      <c r="S9" s="1485"/>
    </row>
    <row r="10" spans="1:22" ht="14.4">
      <c r="A10" s="2600">
        <f>'数据-取费表'!AN10</f>
        <v>0</v>
      </c>
      <c r="B10" s="2598" t="e">
        <f ca="1">IF(F10="是",'数据-取费表'!AO10,0)</f>
        <v>#REF!</v>
      </c>
      <c r="C10" s="1868" t="s">
        <v>1647</v>
      </c>
      <c r="D10" s="2705"/>
      <c r="E10" s="2602">
        <f>IF(OR(A10=0,F10="否"),0,'数据-取费表'!K10+'数据-取费表'!S10)</f>
        <v>0</v>
      </c>
      <c r="F10" s="1872" t="s">
        <v>1653</v>
      </c>
      <c r="G10" s="1485"/>
      <c r="H10" s="1485"/>
      <c r="I10" s="1485"/>
      <c r="J10" s="1485"/>
      <c r="K10" s="1485"/>
      <c r="L10" s="1485"/>
      <c r="M10" s="1485"/>
      <c r="N10" s="1485"/>
      <c r="O10" s="1485"/>
      <c r="P10" s="1485"/>
      <c r="Q10" s="1485"/>
      <c r="R10" s="1485"/>
      <c r="S10" s="1485"/>
    </row>
    <row r="11" spans="1:22" ht="14.4">
      <c r="A11" s="2600">
        <f>'数据-取费表'!AN11</f>
        <v>0</v>
      </c>
      <c r="B11" s="2598" t="e">
        <f ca="1">IF(F11="是",'数据-取费表'!AO11,0)</f>
        <v>#REF!</v>
      </c>
      <c r="C11" s="1868" t="s">
        <v>1647</v>
      </c>
      <c r="D11" s="2705"/>
      <c r="E11" s="2602">
        <f>IF(OR(A11=0,F11="否"),0,'数据-取费表'!K11+'数据-取费表'!S11)</f>
        <v>0</v>
      </c>
      <c r="F11" s="1872" t="s">
        <v>1653</v>
      </c>
      <c r="G11" s="1485"/>
      <c r="H11" s="1485"/>
      <c r="I11" s="1485"/>
      <c r="J11" s="1485"/>
      <c r="K11" s="1485"/>
      <c r="L11" s="1485"/>
      <c r="M11" s="1485"/>
      <c r="N11" s="1485"/>
      <c r="O11" s="1485"/>
      <c r="P11" s="1485"/>
      <c r="Q11" s="1485"/>
      <c r="R11" s="1485"/>
      <c r="S11" s="1485"/>
    </row>
    <row r="12" spans="1:22" ht="14.4">
      <c r="A12" s="2600">
        <f>'数据-取费表'!AN12</f>
        <v>0</v>
      </c>
      <c r="B12" s="2598" t="e">
        <f ca="1">IF(F12="是",'数据-取费表'!AO12,0)</f>
        <v>#REF!</v>
      </c>
      <c r="C12" s="1868" t="s">
        <v>1647</v>
      </c>
      <c r="D12" s="2705"/>
      <c r="E12" s="2602">
        <f>IF(OR(A12=0,F12="否"),0,'数据-取费表'!K12+'数据-取费表'!S12)</f>
        <v>0</v>
      </c>
      <c r="F12" s="1872" t="s">
        <v>1653</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1647</v>
      </c>
      <c r="D13" s="2706"/>
      <c r="E13" s="2602">
        <f>IF(OR(A13=0,F13="否"),0,'数据-取费表'!K13+'数据-取费表'!S13)</f>
        <v>0</v>
      </c>
      <c r="F13" s="1872" t="s">
        <v>1653</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2"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1656</v>
      </c>
      <c r="B1" s="1874" t="s">
        <v>1657</v>
      </c>
      <c r="C1" s="1234" t="s">
        <v>1658</v>
      </c>
      <c r="D1" s="1221"/>
      <c r="E1" s="3422"/>
      <c r="F1" s="1875"/>
      <c r="G1" s="1231" t="s">
        <v>1659</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681</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1660</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682</v>
      </c>
      <c r="B3" s="352">
        <f>IF(C2="——",C49,ROUND(B2*10000/D3,0))</f>
        <v>0</v>
      </c>
      <c r="C3" s="353" t="s">
        <v>1661</v>
      </c>
      <c r="D3" s="352">
        <f>IF(D1="",'数据-汇总表'!E3,SUMIF('数据-汇总表'!$C19:$C33,D1,'数据-汇总表'!$E19:$E33))</f>
        <v>99232.329999999987</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4.4">
      <c r="A4" s="354" t="s">
        <v>1662</v>
      </c>
      <c r="B4" s="355"/>
      <c r="C4" s="3843" t="s">
        <v>1663</v>
      </c>
      <c r="D4" s="3844"/>
      <c r="E4" s="3845" t="s">
        <v>1664</v>
      </c>
      <c r="F4" s="3846"/>
      <c r="G4" s="3843" t="s">
        <v>1665</v>
      </c>
      <c r="H4" s="3844"/>
      <c r="I4" s="3843" t="s">
        <v>1666</v>
      </c>
      <c r="J4" s="3844"/>
      <c r="K4" s="1885" t="s">
        <v>1667</v>
      </c>
      <c r="L4" s="2711"/>
      <c r="M4" s="2712"/>
      <c r="N4" s="2712"/>
      <c r="O4" s="2712"/>
      <c r="P4" s="3847" t="s">
        <v>1668</v>
      </c>
      <c r="Q4" s="3848"/>
      <c r="R4" s="3830" t="s">
        <v>1664</v>
      </c>
      <c r="S4" s="3831"/>
      <c r="T4" s="3830" t="s">
        <v>1665</v>
      </c>
      <c r="U4" s="3831"/>
      <c r="V4" s="3855" t="s">
        <v>1666</v>
      </c>
      <c r="W4" s="3855"/>
      <c r="X4" s="1351"/>
      <c r="Y4" s="3830" t="s">
        <v>1668</v>
      </c>
      <c r="Z4" s="3831"/>
      <c r="AA4" s="3825" t="s">
        <v>1664</v>
      </c>
      <c r="AB4" s="3825" t="s">
        <v>1665</v>
      </c>
      <c r="AC4" s="3825" t="s">
        <v>1666</v>
      </c>
    </row>
    <row r="5" spans="1:29">
      <c r="A5" s="357"/>
      <c r="B5" s="358"/>
      <c r="C5" s="3836" t="s">
        <v>1669</v>
      </c>
      <c r="D5" s="3837"/>
      <c r="E5" s="3834" t="s">
        <v>1670</v>
      </c>
      <c r="F5" s="3835"/>
      <c r="G5" s="3836" t="s">
        <v>1671</v>
      </c>
      <c r="H5" s="3837"/>
      <c r="I5" s="3836" t="s">
        <v>1672</v>
      </c>
      <c r="J5" s="3837"/>
      <c r="K5" s="1886"/>
      <c r="L5" s="2711"/>
      <c r="M5" s="2712"/>
      <c r="N5" s="2712"/>
      <c r="O5" s="2712"/>
      <c r="P5" s="3849"/>
      <c r="Q5" s="3850"/>
      <c r="R5" s="3832"/>
      <c r="S5" s="3833"/>
      <c r="T5" s="3832"/>
      <c r="U5" s="3833"/>
      <c r="V5" s="3855"/>
      <c r="W5" s="3855"/>
      <c r="X5" s="1351"/>
      <c r="Y5" s="3832"/>
      <c r="Z5" s="3833"/>
      <c r="AA5" s="3826"/>
      <c r="AB5" s="3826"/>
      <c r="AC5" s="3826"/>
    </row>
    <row r="6" spans="1:29" ht="15" thickBot="1">
      <c r="A6" s="359"/>
      <c r="B6" s="360"/>
      <c r="C6" s="3838" t="s">
        <v>1673</v>
      </c>
      <c r="D6" s="3839"/>
      <c r="E6" s="3840" t="s">
        <v>1673</v>
      </c>
      <c r="F6" s="3841"/>
      <c r="G6" s="3838" t="s">
        <v>1673</v>
      </c>
      <c r="H6" s="3839"/>
      <c r="I6" s="3838" t="s">
        <v>1673</v>
      </c>
      <c r="J6" s="3839"/>
      <c r="K6" s="1886" t="s">
        <v>1674</v>
      </c>
      <c r="L6" s="2711"/>
      <c r="M6" s="2712"/>
      <c r="N6" s="2712"/>
      <c r="O6" s="2712"/>
      <c r="P6" s="3851"/>
      <c r="Q6" s="3852"/>
      <c r="R6" s="3832"/>
      <c r="S6" s="3833"/>
      <c r="T6" s="3853"/>
      <c r="U6" s="3854"/>
      <c r="V6" s="3855"/>
      <c r="W6" s="3855"/>
      <c r="X6" s="1351"/>
      <c r="Y6" s="3853"/>
      <c r="Z6" s="3854"/>
      <c r="AA6" s="3827"/>
      <c r="AB6" s="3827"/>
      <c r="AC6" s="3827"/>
    </row>
    <row r="7" spans="1:29" s="108" customFormat="1" ht="1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1887"/>
      <c r="L7" s="2713"/>
      <c r="M7" s="2714"/>
      <c r="N7" s="2714"/>
      <c r="O7" s="2714"/>
      <c r="P7" s="3828" t="s">
        <v>1676</v>
      </c>
      <c r="Q7" s="3856"/>
      <c r="R7" s="699" t="s">
        <v>20</v>
      </c>
      <c r="S7" s="700">
        <f t="shared" ref="S7:S15" si="0">F7</f>
        <v>0</v>
      </c>
      <c r="T7" s="699" t="s">
        <v>20</v>
      </c>
      <c r="U7" s="700">
        <f t="shared" ref="U7:U15" si="1">H7</f>
        <v>0</v>
      </c>
      <c r="V7" s="699" t="s">
        <v>20</v>
      </c>
      <c r="W7" s="700">
        <f t="shared" ref="W7:W15" si="2">J7</f>
        <v>0</v>
      </c>
      <c r="X7" s="701"/>
      <c r="Y7" s="3828" t="s">
        <v>1676</v>
      </c>
      <c r="Z7" s="3829"/>
      <c r="AA7" s="702" t="e">
        <f>D7/F7</f>
        <v>#DIV/0!</v>
      </c>
      <c r="AB7" s="702" t="e">
        <f>D7/H7</f>
        <v>#DIV/0!</v>
      </c>
      <c r="AC7" s="702" t="e">
        <f>D7/J7</f>
        <v>#DIV/0!</v>
      </c>
    </row>
    <row r="8" spans="1:29" s="108" customFormat="1" ht="15" thickBot="1">
      <c r="A8" s="361" t="s">
        <v>1677</v>
      </c>
      <c r="B8" s="362"/>
      <c r="C8" s="367"/>
      <c r="D8" s="364">
        <v>100</v>
      </c>
      <c r="E8" s="1888"/>
      <c r="F8" s="366">
        <f>SUMIF(61:61,E8,62:62)-SUMIF(61:61,C8,62:62)+100</f>
        <v>100</v>
      </c>
      <c r="G8" s="367"/>
      <c r="H8" s="364">
        <f>SUMIF(61:61,G8,62:62)-SUMIF(61:61,C8,62:62)+100</f>
        <v>100</v>
      </c>
      <c r="I8" s="1888"/>
      <c r="J8" s="364">
        <f>SUMIF(61:61,I8,62:62)-SUMIF(61:61,C8,62:62)+100</f>
        <v>100</v>
      </c>
      <c r="K8" s="1887"/>
      <c r="L8" s="2713"/>
      <c r="M8" s="2714"/>
      <c r="N8" s="2714"/>
      <c r="O8" s="2714"/>
      <c r="P8" s="3828" t="s">
        <v>1679</v>
      </c>
      <c r="Q8" s="3829"/>
      <c r="R8" s="699" t="s">
        <v>20</v>
      </c>
      <c r="S8" s="700">
        <f t="shared" si="0"/>
        <v>100</v>
      </c>
      <c r="T8" s="699" t="s">
        <v>20</v>
      </c>
      <c r="U8" s="700">
        <f t="shared" si="1"/>
        <v>100</v>
      </c>
      <c r="V8" s="699" t="s">
        <v>20</v>
      </c>
      <c r="W8" s="700">
        <f t="shared" si="2"/>
        <v>100</v>
      </c>
      <c r="X8" s="701"/>
      <c r="Y8" s="3828" t="s">
        <v>1679</v>
      </c>
      <c r="Z8" s="3829"/>
      <c r="AA8" s="702">
        <f t="shared" ref="AA8:AA19" si="3">D8/F8</f>
        <v>1</v>
      </c>
      <c r="AB8" s="702">
        <f t="shared" ref="AB8:AB19" si="4">D8/H8</f>
        <v>1</v>
      </c>
      <c r="AC8" s="702">
        <f t="shared" ref="AC8:AC19" si="5">D8/J8</f>
        <v>1</v>
      </c>
    </row>
    <row r="9" spans="1:29" s="108" customFormat="1" ht="14.4">
      <c r="A9" s="368" t="s">
        <v>1680</v>
      </c>
      <c r="B9" s="63" t="s">
        <v>1681</v>
      </c>
      <c r="C9" s="369"/>
      <c r="D9" s="125">
        <v>100</v>
      </c>
      <c r="E9" s="370"/>
      <c r="F9" s="371">
        <f>SUMIF(63:63,E9,64:64)-SUMIF(63:63,C9,64:64)+100</f>
        <v>100</v>
      </c>
      <c r="G9" s="372"/>
      <c r="H9" s="125">
        <f>SUMIF(63:63,G9,64:64)-SUMIF(63:63,C9,64:64)+100</f>
        <v>100</v>
      </c>
      <c r="I9" s="372"/>
      <c r="J9" s="125">
        <f>SUMIF(63:63,I9,64:64)-SUMIF(63:63,C9,64:64)+100</f>
        <v>100</v>
      </c>
      <c r="K9" s="1887"/>
      <c r="L9" s="2713"/>
      <c r="M9" s="2714"/>
      <c r="N9" s="2714"/>
      <c r="O9" s="2714"/>
      <c r="P9" s="3842" t="s">
        <v>1682</v>
      </c>
      <c r="Q9" s="1339" t="str">
        <f t="shared" ref="Q9:Q15" si="6">B9</f>
        <v>用途</v>
      </c>
      <c r="R9" s="699" t="s">
        <v>14</v>
      </c>
      <c r="S9" s="700">
        <f t="shared" si="0"/>
        <v>100</v>
      </c>
      <c r="T9" s="699" t="s">
        <v>14</v>
      </c>
      <c r="U9" s="700">
        <f t="shared" si="1"/>
        <v>100</v>
      </c>
      <c r="V9" s="699" t="s">
        <v>14</v>
      </c>
      <c r="W9" s="700">
        <f t="shared" si="2"/>
        <v>100</v>
      </c>
      <c r="X9" s="701"/>
      <c r="Y9" s="3753" t="s">
        <v>1683</v>
      </c>
      <c r="Z9" s="52" t="str">
        <f t="shared" ref="Z9:Z15" si="7">Q9</f>
        <v>用途</v>
      </c>
      <c r="AA9" s="702">
        <f t="shared" si="3"/>
        <v>1</v>
      </c>
      <c r="AB9" s="702">
        <f t="shared" si="4"/>
        <v>1</v>
      </c>
      <c r="AC9" s="702">
        <f t="shared" si="5"/>
        <v>1</v>
      </c>
    </row>
    <row r="10" spans="1:29" s="377" customFormat="1" ht="28.8">
      <c r="A10" s="373"/>
      <c r="B10" s="374" t="s">
        <v>1684</v>
      </c>
      <c r="C10" s="3430"/>
      <c r="D10" s="126">
        <v>100</v>
      </c>
      <c r="E10" s="3431"/>
      <c r="F10" s="375">
        <f>SUMIF(65:65,E10,66:66)-SUMIF(65:65,C10,66:66)+100</f>
        <v>100</v>
      </c>
      <c r="G10" s="3430"/>
      <c r="H10" s="126">
        <f>SUMIF(65:65,G10,66:66)-SUMIF(65:65,C10,66:66)+100</f>
        <v>100</v>
      </c>
      <c r="I10" s="3430"/>
      <c r="J10" s="126">
        <f>SUMIF(65:65,I10,66:66)-SUMIF(65:65,C10,66:66)+100</f>
        <v>100</v>
      </c>
      <c r="K10" s="1887"/>
      <c r="L10" s="2715"/>
      <c r="M10" s="2716"/>
      <c r="N10" s="2716"/>
      <c r="O10" s="2716"/>
      <c r="P10" s="3842"/>
      <c r="Q10" s="1339" t="str">
        <f t="shared" si="6"/>
        <v>土地使用年限（年）</v>
      </c>
      <c r="R10" s="699" t="s">
        <v>14</v>
      </c>
      <c r="S10" s="700">
        <f t="shared" si="0"/>
        <v>100</v>
      </c>
      <c r="T10" s="699" t="s">
        <v>14</v>
      </c>
      <c r="U10" s="700">
        <f t="shared" si="1"/>
        <v>100</v>
      </c>
      <c r="V10" s="699" t="s">
        <v>14</v>
      </c>
      <c r="W10" s="700">
        <f t="shared" si="2"/>
        <v>100</v>
      </c>
      <c r="X10" s="701"/>
      <c r="Y10" s="3753"/>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842"/>
      <c r="Q11" s="1339" t="str">
        <f t="shared" si="6"/>
        <v>容积率</v>
      </c>
      <c r="R11" s="699" t="s">
        <v>18</v>
      </c>
      <c r="S11" s="700" t="e">
        <f t="shared" si="0"/>
        <v>#N/A</v>
      </c>
      <c r="T11" s="699" t="s">
        <v>18</v>
      </c>
      <c r="U11" s="700" t="e">
        <f t="shared" si="1"/>
        <v>#N/A</v>
      </c>
      <c r="V11" s="699" t="s">
        <v>18</v>
      </c>
      <c r="W11" s="700" t="e">
        <f t="shared" si="2"/>
        <v>#N/A</v>
      </c>
      <c r="X11" s="701"/>
      <c r="Y11" s="3753"/>
      <c r="Z11" s="52" t="str">
        <f t="shared" si="7"/>
        <v>容积率</v>
      </c>
      <c r="AA11" s="702" t="e">
        <f t="shared" si="3"/>
        <v>#N/A</v>
      </c>
      <c r="AB11" s="702" t="e">
        <f t="shared" si="4"/>
        <v>#N/A</v>
      </c>
      <c r="AC11" s="702" t="e">
        <f t="shared" si="5"/>
        <v>#N/A</v>
      </c>
    </row>
    <row r="12" spans="1:29" s="108"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3"/>
      <c r="M12" s="2714"/>
      <c r="N12" s="2714"/>
      <c r="O12" s="2714"/>
      <c r="P12" s="3842"/>
      <c r="Q12" s="1339">
        <f t="shared" si="6"/>
        <v>111</v>
      </c>
      <c r="R12" s="699" t="s">
        <v>18</v>
      </c>
      <c r="S12" s="700">
        <f t="shared" si="0"/>
        <v>100</v>
      </c>
      <c r="T12" s="699" t="s">
        <v>18</v>
      </c>
      <c r="U12" s="700">
        <f t="shared" si="1"/>
        <v>100</v>
      </c>
      <c r="V12" s="699" t="s">
        <v>18</v>
      </c>
      <c r="W12" s="700">
        <f t="shared" si="2"/>
        <v>100</v>
      </c>
      <c r="X12" s="701"/>
      <c r="Y12" s="3753"/>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842"/>
      <c r="Q13" s="1339">
        <f t="shared" si="6"/>
        <v>111</v>
      </c>
      <c r="R13" s="699" t="s">
        <v>18</v>
      </c>
      <c r="S13" s="700">
        <f t="shared" si="0"/>
        <v>100</v>
      </c>
      <c r="T13" s="699" t="s">
        <v>18</v>
      </c>
      <c r="U13" s="700">
        <f t="shared" si="1"/>
        <v>100</v>
      </c>
      <c r="V13" s="699" t="s">
        <v>18</v>
      </c>
      <c r="W13" s="700">
        <f t="shared" si="2"/>
        <v>100</v>
      </c>
      <c r="X13" s="701"/>
      <c r="Y13" s="3753"/>
      <c r="Z13" s="52">
        <f t="shared" si="7"/>
        <v>111</v>
      </c>
      <c r="AA13" s="702">
        <f t="shared" si="3"/>
        <v>1</v>
      </c>
      <c r="AB13" s="702">
        <f t="shared" si="4"/>
        <v>1</v>
      </c>
      <c r="AC13" s="702">
        <f t="shared" si="5"/>
        <v>1</v>
      </c>
    </row>
    <row r="14" spans="1:29" ht="15.6"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842"/>
      <c r="Q14" s="1339">
        <f t="shared" si="6"/>
        <v>111</v>
      </c>
      <c r="R14" s="699" t="s">
        <v>18</v>
      </c>
      <c r="S14" s="700">
        <f t="shared" si="0"/>
        <v>100</v>
      </c>
      <c r="T14" s="699" t="s">
        <v>18</v>
      </c>
      <c r="U14" s="700">
        <f t="shared" si="1"/>
        <v>100</v>
      </c>
      <c r="V14" s="699" t="s">
        <v>18</v>
      </c>
      <c r="W14" s="700">
        <f t="shared" si="2"/>
        <v>100</v>
      </c>
      <c r="X14" s="701"/>
      <c r="Y14" s="3753"/>
      <c r="Z14" s="52">
        <f t="shared" si="7"/>
        <v>111</v>
      </c>
      <c r="AA14" s="702">
        <f t="shared" si="3"/>
        <v>1</v>
      </c>
      <c r="AB14" s="702">
        <f t="shared" si="4"/>
        <v>1</v>
      </c>
      <c r="AC14" s="702">
        <f t="shared" si="5"/>
        <v>1</v>
      </c>
    </row>
    <row r="15" spans="1:29" ht="96.6">
      <c r="A15" s="390" t="s">
        <v>1686</v>
      </c>
      <c r="B15" s="61" t="s">
        <v>1253</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869" t="s">
        <v>1687</v>
      </c>
      <c r="Q15" s="1348" t="str">
        <f t="shared" si="6"/>
        <v>居住社区成熟度</v>
      </c>
      <c r="R15" s="703" t="s">
        <v>18</v>
      </c>
      <c r="S15" s="704">
        <f t="shared" si="0"/>
        <v>100</v>
      </c>
      <c r="T15" s="703" t="s">
        <v>18</v>
      </c>
      <c r="U15" s="704">
        <f t="shared" si="1"/>
        <v>100</v>
      </c>
      <c r="V15" s="703" t="s">
        <v>18</v>
      </c>
      <c r="W15" s="704">
        <f t="shared" si="2"/>
        <v>100</v>
      </c>
      <c r="X15" s="1351"/>
      <c r="Y15" s="3862" t="s">
        <v>1687</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8"/>
      <c r="M16" s="2712"/>
      <c r="N16" s="2712"/>
      <c r="O16" s="2712"/>
      <c r="P16" s="3870"/>
      <c r="Q16" s="1348"/>
      <c r="R16" s="703"/>
      <c r="S16" s="704"/>
      <c r="T16" s="703"/>
      <c r="U16" s="704"/>
      <c r="V16" s="703"/>
      <c r="W16" s="704"/>
      <c r="X16" s="1351"/>
      <c r="Y16" s="3863"/>
      <c r="Z16" s="1352"/>
      <c r="AA16" s="1349">
        <v>1</v>
      </c>
      <c r="AB16" s="1349">
        <v>1</v>
      </c>
      <c r="AC16" s="1349">
        <v>1</v>
      </c>
    </row>
    <row r="17" spans="1:29" ht="82.8">
      <c r="A17" s="378"/>
      <c r="B17" s="401" t="s">
        <v>1255</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870"/>
      <c r="Q17" s="1348" t="str">
        <f>B17</f>
        <v>交通便捷度</v>
      </c>
      <c r="R17" s="703" t="s">
        <v>18</v>
      </c>
      <c r="S17" s="704">
        <f>F17</f>
        <v>100</v>
      </c>
      <c r="T17" s="703" t="s">
        <v>18</v>
      </c>
      <c r="U17" s="704">
        <f>H17</f>
        <v>100</v>
      </c>
      <c r="V17" s="703" t="s">
        <v>18</v>
      </c>
      <c r="W17" s="704">
        <f>J17</f>
        <v>100</v>
      </c>
      <c r="X17" s="1351"/>
      <c r="Y17" s="3863"/>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8"/>
      <c r="M18" s="2712"/>
      <c r="N18" s="2712"/>
      <c r="O18" s="2712"/>
      <c r="P18" s="3870"/>
      <c r="Q18" s="1348"/>
      <c r="R18" s="703"/>
      <c r="S18" s="704"/>
      <c r="T18" s="703"/>
      <c r="U18" s="704"/>
      <c r="V18" s="703"/>
      <c r="W18" s="704"/>
      <c r="X18" s="1351"/>
      <c r="Y18" s="3863"/>
      <c r="Z18" s="1352"/>
      <c r="AA18" s="1349">
        <v>1</v>
      </c>
      <c r="AB18" s="1349">
        <v>1</v>
      </c>
      <c r="AC18" s="1349">
        <v>1</v>
      </c>
    </row>
    <row r="19" spans="1:29" ht="41.4">
      <c r="A19" s="378"/>
      <c r="B19" s="401" t="s">
        <v>1254</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870"/>
      <c r="Q19" s="1348" t="str">
        <f>B19</f>
        <v>公共配套设施</v>
      </c>
      <c r="R19" s="703" t="s">
        <v>18</v>
      </c>
      <c r="S19" s="704">
        <f>F19</f>
        <v>100</v>
      </c>
      <c r="T19" s="703" t="s">
        <v>18</v>
      </c>
      <c r="U19" s="704">
        <f>H19</f>
        <v>100</v>
      </c>
      <c r="V19" s="703" t="s">
        <v>18</v>
      </c>
      <c r="W19" s="704">
        <f>J19</f>
        <v>100</v>
      </c>
      <c r="X19" s="1351"/>
      <c r="Y19" s="3863"/>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8"/>
      <c r="M20" s="2712"/>
      <c r="N20" s="2712"/>
      <c r="O20" s="2712"/>
      <c r="P20" s="3870"/>
      <c r="Q20" s="1348"/>
      <c r="R20" s="703"/>
      <c r="S20" s="704"/>
      <c r="T20" s="703"/>
      <c r="U20" s="704"/>
      <c r="V20" s="703"/>
      <c r="W20" s="704"/>
      <c r="X20" s="1351"/>
      <c r="Y20" s="3863"/>
      <c r="Z20" s="1352"/>
      <c r="AA20" s="1349">
        <v>1</v>
      </c>
      <c r="AB20" s="1349">
        <v>1</v>
      </c>
      <c r="AC20" s="1349">
        <v>1</v>
      </c>
    </row>
    <row r="21" spans="1:29" ht="27.6">
      <c r="A21" s="378"/>
      <c r="B21" s="1127" t="s">
        <v>1256</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870"/>
      <c r="Q21" s="1348" t="str">
        <f>B21</f>
        <v>基础设施水平</v>
      </c>
      <c r="R21" s="703" t="s">
        <v>14</v>
      </c>
      <c r="S21" s="704">
        <f>F21</f>
        <v>100</v>
      </c>
      <c r="T21" s="703" t="s">
        <v>14</v>
      </c>
      <c r="U21" s="704">
        <f>H21</f>
        <v>100</v>
      </c>
      <c r="V21" s="703" t="s">
        <v>14</v>
      </c>
      <c r="W21" s="704">
        <f>J21</f>
        <v>100</v>
      </c>
      <c r="X21" s="1351"/>
      <c r="Y21" s="3863"/>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8"/>
      <c r="G22" s="1900"/>
      <c r="H22" s="398"/>
      <c r="I22" s="397"/>
      <c r="J22" s="398"/>
      <c r="K22" s="1901"/>
      <c r="L22" s="2718"/>
      <c r="M22" s="2712"/>
      <c r="N22" s="2712"/>
      <c r="O22" s="2712"/>
      <c r="P22" s="3870"/>
      <c r="Q22" s="1348"/>
      <c r="R22" s="703"/>
      <c r="S22" s="704"/>
      <c r="T22" s="703"/>
      <c r="U22" s="704"/>
      <c r="V22" s="703"/>
      <c r="W22" s="704"/>
      <c r="X22" s="1351"/>
      <c r="Y22" s="3863"/>
      <c r="Z22" s="1352"/>
      <c r="AA22" s="1349">
        <v>1</v>
      </c>
      <c r="AB22" s="1349">
        <v>1</v>
      </c>
      <c r="AC22" s="1349">
        <v>1</v>
      </c>
    </row>
    <row r="23" spans="1:29" ht="55.2">
      <c r="A23" s="378"/>
      <c r="B23" s="401" t="s">
        <v>1257</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870"/>
      <c r="Q23" s="1348" t="str">
        <f>B23</f>
        <v>自然及人文环境</v>
      </c>
      <c r="R23" s="703" t="s">
        <v>18</v>
      </c>
      <c r="S23" s="704">
        <f>F23</f>
        <v>100</v>
      </c>
      <c r="T23" s="703" t="s">
        <v>18</v>
      </c>
      <c r="U23" s="704">
        <f>H23</f>
        <v>100</v>
      </c>
      <c r="V23" s="703" t="s">
        <v>18</v>
      </c>
      <c r="W23" s="704">
        <f>J23</f>
        <v>100</v>
      </c>
      <c r="X23" s="1351"/>
      <c r="Y23" s="3863"/>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8"/>
      <c r="M24" s="2712"/>
      <c r="N24" s="2712"/>
      <c r="O24" s="2712"/>
      <c r="P24" s="3870"/>
      <c r="Q24" s="1348"/>
      <c r="R24" s="703"/>
      <c r="S24" s="704"/>
      <c r="T24" s="703"/>
      <c r="U24" s="704"/>
      <c r="V24" s="703"/>
      <c r="W24" s="704"/>
      <c r="X24" s="1351"/>
      <c r="Y24" s="3863"/>
      <c r="Z24" s="1352"/>
      <c r="AA24" s="1349">
        <v>1</v>
      </c>
      <c r="AB24" s="1349">
        <v>1</v>
      </c>
      <c r="AC24" s="1349">
        <v>1</v>
      </c>
    </row>
    <row r="25" spans="1:29" ht="15">
      <c r="A25" s="378"/>
      <c r="B25" s="374" t="s">
        <v>1688</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870"/>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863"/>
      <c r="Z25" s="1352" t="str">
        <f>Q25</f>
        <v>楼层-1</v>
      </c>
      <c r="AA25" s="1349">
        <f t="shared" ref="AA25:AA46" si="15">D25/F25</f>
        <v>1</v>
      </c>
      <c r="AB25" s="1349">
        <f t="shared" ref="AB25:AB46" si="16">D25/H25</f>
        <v>1</v>
      </c>
      <c r="AC25" s="1349">
        <f t="shared" ref="AC25:AC46" si="17">D25/J25</f>
        <v>1</v>
      </c>
    </row>
    <row r="26" spans="1:29" ht="15">
      <c r="A26" s="378"/>
      <c r="B26" s="374" t="s">
        <v>1689</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870"/>
      <c r="Q26" s="1348" t="str">
        <f t="shared" si="11"/>
        <v>朝向</v>
      </c>
      <c r="R26" s="703" t="s">
        <v>18</v>
      </c>
      <c r="S26" s="704">
        <f t="shared" si="12"/>
        <v>100</v>
      </c>
      <c r="T26" s="703" t="s">
        <v>18</v>
      </c>
      <c r="U26" s="704">
        <f t="shared" si="13"/>
        <v>100</v>
      </c>
      <c r="V26" s="703" t="s">
        <v>18</v>
      </c>
      <c r="W26" s="704">
        <f t="shared" si="14"/>
        <v>100</v>
      </c>
      <c r="X26" s="1351"/>
      <c r="Y26" s="3863"/>
      <c r="Z26" s="1352" t="str">
        <f>Q26</f>
        <v>朝向</v>
      </c>
      <c r="AA26" s="1349">
        <f t="shared" si="15"/>
        <v>1</v>
      </c>
      <c r="AB26" s="1349">
        <f t="shared" si="16"/>
        <v>1</v>
      </c>
      <c r="AC26" s="1349">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870"/>
      <c r="Q27" s="1339">
        <f t="shared" si="11"/>
        <v>111</v>
      </c>
      <c r="R27" s="699" t="s">
        <v>18</v>
      </c>
      <c r="S27" s="700">
        <f t="shared" si="12"/>
        <v>100</v>
      </c>
      <c r="T27" s="699" t="s">
        <v>18</v>
      </c>
      <c r="U27" s="700">
        <f t="shared" si="13"/>
        <v>100</v>
      </c>
      <c r="V27" s="699" t="s">
        <v>18</v>
      </c>
      <c r="W27" s="700">
        <f t="shared" si="14"/>
        <v>100</v>
      </c>
      <c r="X27" s="701"/>
      <c r="Y27" s="3863"/>
      <c r="Z27" s="52">
        <f>Q27</f>
        <v>111</v>
      </c>
      <c r="AA27" s="1349">
        <f t="shared" si="15"/>
        <v>1</v>
      </c>
      <c r="AB27" s="1349">
        <f t="shared" si="16"/>
        <v>1</v>
      </c>
      <c r="AC27" s="1349">
        <f t="shared" si="17"/>
        <v>1</v>
      </c>
    </row>
    <row r="28" spans="1:29" ht="15">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870"/>
      <c r="Q28" s="1348">
        <f t="shared" si="11"/>
        <v>111</v>
      </c>
      <c r="R28" s="703" t="s">
        <v>18</v>
      </c>
      <c r="S28" s="704">
        <f t="shared" si="12"/>
        <v>100</v>
      </c>
      <c r="T28" s="703" t="s">
        <v>18</v>
      </c>
      <c r="U28" s="704">
        <f t="shared" si="13"/>
        <v>100</v>
      </c>
      <c r="V28" s="703" t="s">
        <v>18</v>
      </c>
      <c r="W28" s="704">
        <f t="shared" si="14"/>
        <v>100</v>
      </c>
      <c r="X28" s="1351"/>
      <c r="Y28" s="3863"/>
      <c r="Z28" s="1352">
        <f t="shared" ref="Z28:Z46" si="18">Q28</f>
        <v>111</v>
      </c>
      <c r="AA28" s="1349">
        <f t="shared" si="15"/>
        <v>1</v>
      </c>
      <c r="AB28" s="1349">
        <f t="shared" si="16"/>
        <v>1</v>
      </c>
      <c r="AC28" s="1349">
        <f t="shared" si="17"/>
        <v>1</v>
      </c>
    </row>
    <row r="29" spans="1:29" ht="15">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870"/>
      <c r="Q29" s="1348">
        <f t="shared" si="11"/>
        <v>111</v>
      </c>
      <c r="R29" s="703" t="s">
        <v>18</v>
      </c>
      <c r="S29" s="704">
        <f t="shared" si="12"/>
        <v>100</v>
      </c>
      <c r="T29" s="703" t="s">
        <v>18</v>
      </c>
      <c r="U29" s="704">
        <f t="shared" si="13"/>
        <v>100</v>
      </c>
      <c r="V29" s="703" t="s">
        <v>18</v>
      </c>
      <c r="W29" s="704">
        <f t="shared" si="14"/>
        <v>100</v>
      </c>
      <c r="X29" s="1351"/>
      <c r="Y29" s="3863"/>
      <c r="Z29" s="1352">
        <f t="shared" si="18"/>
        <v>111</v>
      </c>
      <c r="AA29" s="1349">
        <f t="shared" si="15"/>
        <v>1</v>
      </c>
      <c r="AB29" s="1349">
        <f t="shared" si="16"/>
        <v>1</v>
      </c>
      <c r="AC29" s="1349">
        <f t="shared" si="17"/>
        <v>1</v>
      </c>
    </row>
    <row r="30" spans="1:29" ht="15">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870"/>
      <c r="Q30" s="1348">
        <f t="shared" si="11"/>
        <v>111</v>
      </c>
      <c r="R30" s="703" t="s">
        <v>18</v>
      </c>
      <c r="S30" s="704">
        <f t="shared" si="12"/>
        <v>100</v>
      </c>
      <c r="T30" s="703" t="s">
        <v>18</v>
      </c>
      <c r="U30" s="704">
        <f t="shared" si="13"/>
        <v>100</v>
      </c>
      <c r="V30" s="703" t="s">
        <v>18</v>
      </c>
      <c r="W30" s="704">
        <f t="shared" si="14"/>
        <v>100</v>
      </c>
      <c r="X30" s="1351"/>
      <c r="Y30" s="3863"/>
      <c r="Z30" s="1352">
        <f t="shared" si="18"/>
        <v>111</v>
      </c>
      <c r="AA30" s="1349">
        <f t="shared" si="15"/>
        <v>1</v>
      </c>
      <c r="AB30" s="1349">
        <f t="shared" si="16"/>
        <v>1</v>
      </c>
      <c r="AC30" s="1349">
        <f t="shared" si="17"/>
        <v>1</v>
      </c>
    </row>
    <row r="31" spans="1:29" ht="15.6"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870"/>
      <c r="Q31" s="1348">
        <f t="shared" si="11"/>
        <v>111</v>
      </c>
      <c r="R31" s="703" t="s">
        <v>18</v>
      </c>
      <c r="S31" s="704">
        <f t="shared" si="12"/>
        <v>100</v>
      </c>
      <c r="T31" s="703" t="s">
        <v>18</v>
      </c>
      <c r="U31" s="704">
        <f t="shared" si="13"/>
        <v>100</v>
      </c>
      <c r="V31" s="703" t="s">
        <v>18</v>
      </c>
      <c r="W31" s="704">
        <f t="shared" si="14"/>
        <v>100</v>
      </c>
      <c r="X31" s="1351"/>
      <c r="Y31" s="3863"/>
      <c r="Z31" s="1352">
        <f t="shared" si="18"/>
        <v>111</v>
      </c>
      <c r="AA31" s="1349">
        <f t="shared" si="15"/>
        <v>1</v>
      </c>
      <c r="AB31" s="1349">
        <f t="shared" si="16"/>
        <v>1</v>
      </c>
      <c r="AC31" s="1349">
        <f t="shared" si="17"/>
        <v>1</v>
      </c>
    </row>
    <row r="32" spans="1:29" ht="15">
      <c r="A32" s="390" t="s">
        <v>1690</v>
      </c>
      <c r="B32" s="63" t="s">
        <v>1691</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8"/>
      <c r="M32" s="2712"/>
      <c r="N32" s="2712"/>
      <c r="O32" s="2712"/>
      <c r="P32" s="3864" t="s">
        <v>1692</v>
      </c>
      <c r="Q32" s="1348" t="str">
        <f t="shared" si="11"/>
        <v>建筑类型</v>
      </c>
      <c r="R32" s="703" t="s">
        <v>18</v>
      </c>
      <c r="S32" s="704">
        <f t="shared" si="12"/>
        <v>100</v>
      </c>
      <c r="T32" s="703" t="s">
        <v>18</v>
      </c>
      <c r="U32" s="704">
        <f t="shared" si="13"/>
        <v>100</v>
      </c>
      <c r="V32" s="703" t="s">
        <v>18</v>
      </c>
      <c r="W32" s="704">
        <f t="shared" si="14"/>
        <v>100</v>
      </c>
      <c r="X32" s="1351"/>
      <c r="Y32" s="3867" t="s">
        <v>1692</v>
      </c>
      <c r="Z32" s="1352" t="str">
        <f t="shared" si="18"/>
        <v>建筑类型</v>
      </c>
      <c r="AA32" s="1349">
        <f t="shared" si="15"/>
        <v>1</v>
      </c>
      <c r="AB32" s="1349">
        <f t="shared" si="16"/>
        <v>1</v>
      </c>
      <c r="AC32" s="1349">
        <f t="shared" si="17"/>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7"/>
      <c r="M33" s="2719"/>
      <c r="N33" s="2719"/>
      <c r="O33" s="2719"/>
      <c r="P33" s="3865"/>
      <c r="Q33" s="705" t="str">
        <f t="shared" si="11"/>
        <v>项目建筑规模</v>
      </c>
      <c r="R33" s="706" t="s">
        <v>18</v>
      </c>
      <c r="S33" s="707" t="e">
        <f t="shared" si="12"/>
        <v>#N/A</v>
      </c>
      <c r="T33" s="706" t="s">
        <v>18</v>
      </c>
      <c r="U33" s="707" t="e">
        <f t="shared" si="13"/>
        <v>#N/A</v>
      </c>
      <c r="V33" s="706" t="s">
        <v>18</v>
      </c>
      <c r="W33" s="707" t="e">
        <f t="shared" si="14"/>
        <v>#N/A</v>
      </c>
      <c r="X33" s="708"/>
      <c r="Y33" s="3867"/>
      <c r="Z33" s="709" t="str">
        <f t="shared" si="18"/>
        <v>项目建筑规模</v>
      </c>
      <c r="AA33" s="1349" t="e">
        <f t="shared" si="15"/>
        <v>#N/A</v>
      </c>
      <c r="AB33" s="1349" t="e">
        <f t="shared" si="16"/>
        <v>#N/A</v>
      </c>
      <c r="AC33" s="1349" t="e">
        <f t="shared" si="17"/>
        <v>#N/A</v>
      </c>
    </row>
    <row r="34" spans="1:29" ht="15">
      <c r="A34" s="422"/>
      <c r="B34" s="374" t="s">
        <v>1694</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8"/>
      <c r="M34" s="2712"/>
      <c r="N34" s="2712"/>
      <c r="O34" s="2712"/>
      <c r="P34" s="3865"/>
      <c r="Q34" s="1348" t="str">
        <f t="shared" si="11"/>
        <v>建筑结构</v>
      </c>
      <c r="R34" s="703" t="s">
        <v>18</v>
      </c>
      <c r="S34" s="704">
        <f t="shared" si="12"/>
        <v>100</v>
      </c>
      <c r="T34" s="703" t="s">
        <v>18</v>
      </c>
      <c r="U34" s="704">
        <f t="shared" si="13"/>
        <v>100</v>
      </c>
      <c r="V34" s="703" t="s">
        <v>18</v>
      </c>
      <c r="W34" s="704">
        <f t="shared" si="14"/>
        <v>100</v>
      </c>
      <c r="X34" s="1351"/>
      <c r="Y34" s="3867"/>
      <c r="Z34" s="1352" t="str">
        <f t="shared" si="18"/>
        <v>建筑结构</v>
      </c>
      <c r="AA34" s="1349">
        <f t="shared" si="15"/>
        <v>1</v>
      </c>
      <c r="AB34" s="1349">
        <f t="shared" si="16"/>
        <v>1</v>
      </c>
      <c r="AC34" s="1349">
        <f t="shared" si="17"/>
        <v>1</v>
      </c>
    </row>
    <row r="35" spans="1:29" ht="15">
      <c r="A35" s="422"/>
      <c r="B35" s="374" t="s">
        <v>1695</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8"/>
      <c r="M35" s="2712"/>
      <c r="N35" s="2712"/>
      <c r="O35" s="2712"/>
      <c r="P35" s="3865"/>
      <c r="Q35" s="1348" t="str">
        <f t="shared" si="11"/>
        <v>建筑品质</v>
      </c>
      <c r="R35" s="703" t="s">
        <v>18</v>
      </c>
      <c r="S35" s="704">
        <f t="shared" si="12"/>
        <v>100</v>
      </c>
      <c r="T35" s="703" t="s">
        <v>18</v>
      </c>
      <c r="U35" s="704">
        <f t="shared" si="13"/>
        <v>100</v>
      </c>
      <c r="V35" s="703" t="s">
        <v>18</v>
      </c>
      <c r="W35" s="704">
        <f t="shared" si="14"/>
        <v>100</v>
      </c>
      <c r="X35" s="1351"/>
      <c r="Y35" s="3867"/>
      <c r="Z35" s="1352" t="str">
        <f t="shared" si="18"/>
        <v>建筑品质</v>
      </c>
      <c r="AA35" s="1349">
        <f t="shared" si="15"/>
        <v>1</v>
      </c>
      <c r="AB35" s="1349">
        <f t="shared" si="16"/>
        <v>1</v>
      </c>
      <c r="AC35" s="1349">
        <f t="shared" si="17"/>
        <v>1</v>
      </c>
    </row>
    <row r="36" spans="1:29" ht="15">
      <c r="A36" s="422"/>
      <c r="B36" s="374" t="s">
        <v>1696</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8"/>
      <c r="M36" s="2712"/>
      <c r="N36" s="2712"/>
      <c r="O36" s="2712"/>
      <c r="P36" s="3865"/>
      <c r="Q36" s="1348" t="str">
        <f t="shared" si="11"/>
        <v>公共部分装修</v>
      </c>
      <c r="R36" s="703" t="s">
        <v>18</v>
      </c>
      <c r="S36" s="704">
        <f t="shared" si="12"/>
        <v>100</v>
      </c>
      <c r="T36" s="703" t="s">
        <v>18</v>
      </c>
      <c r="U36" s="704">
        <f t="shared" si="13"/>
        <v>100</v>
      </c>
      <c r="V36" s="703" t="s">
        <v>18</v>
      </c>
      <c r="W36" s="704">
        <f t="shared" si="14"/>
        <v>100</v>
      </c>
      <c r="X36" s="1351"/>
      <c r="Y36" s="3867"/>
      <c r="Z36" s="1352" t="str">
        <f t="shared" si="18"/>
        <v>公共部分装修</v>
      </c>
      <c r="AA36" s="1349">
        <f t="shared" si="15"/>
        <v>1</v>
      </c>
      <c r="AB36" s="1349">
        <f t="shared" si="16"/>
        <v>1</v>
      </c>
      <c r="AC36" s="1349">
        <f t="shared" si="17"/>
        <v>1</v>
      </c>
    </row>
    <row r="37" spans="1:29" s="108" customFormat="1" ht="15">
      <c r="A37" s="423"/>
      <c r="B37" s="374" t="s">
        <v>1697</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865"/>
      <c r="Q37" s="1339" t="str">
        <f t="shared" si="11"/>
        <v>成新度</v>
      </c>
      <c r="R37" s="699" t="s">
        <v>18</v>
      </c>
      <c r="S37" s="700" t="e">
        <f t="shared" si="12"/>
        <v>#N/A</v>
      </c>
      <c r="T37" s="699" t="s">
        <v>18</v>
      </c>
      <c r="U37" s="700" t="e">
        <f t="shared" si="13"/>
        <v>#N/A</v>
      </c>
      <c r="V37" s="699" t="s">
        <v>18</v>
      </c>
      <c r="W37" s="700" t="e">
        <f t="shared" si="14"/>
        <v>#N/A</v>
      </c>
      <c r="X37" s="701"/>
      <c r="Y37" s="3867"/>
      <c r="Z37" s="52" t="str">
        <f t="shared" si="18"/>
        <v>成新度</v>
      </c>
      <c r="AA37" s="702" t="e">
        <f t="shared" si="15"/>
        <v>#N/A</v>
      </c>
      <c r="AB37" s="702" t="e">
        <f t="shared" si="16"/>
        <v>#N/A</v>
      </c>
      <c r="AC37" s="702" t="e">
        <f t="shared" si="17"/>
        <v>#N/A</v>
      </c>
    </row>
    <row r="38" spans="1:29" ht="15">
      <c r="A38" s="422"/>
      <c r="B38" s="374" t="s">
        <v>1698</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8"/>
      <c r="M38" s="2712"/>
      <c r="N38" s="2712"/>
      <c r="O38" s="2712"/>
      <c r="P38" s="3865" t="s">
        <v>1692</v>
      </c>
      <c r="Q38" s="1348" t="str">
        <f t="shared" si="11"/>
        <v>物业管理</v>
      </c>
      <c r="R38" s="703" t="s">
        <v>18</v>
      </c>
      <c r="S38" s="704">
        <f t="shared" si="12"/>
        <v>100</v>
      </c>
      <c r="T38" s="703" t="s">
        <v>18</v>
      </c>
      <c r="U38" s="704">
        <f t="shared" si="13"/>
        <v>100</v>
      </c>
      <c r="V38" s="703" t="s">
        <v>18</v>
      </c>
      <c r="W38" s="704">
        <f t="shared" si="14"/>
        <v>100</v>
      </c>
      <c r="X38" s="1351"/>
      <c r="Y38" s="3867" t="s">
        <v>1692</v>
      </c>
      <c r="Z38" s="1352" t="str">
        <f t="shared" si="18"/>
        <v>物业管理</v>
      </c>
      <c r="AA38" s="1349">
        <f t="shared" si="15"/>
        <v>1</v>
      </c>
      <c r="AB38" s="1349">
        <f t="shared" si="16"/>
        <v>1</v>
      </c>
      <c r="AC38" s="1349">
        <f t="shared" si="17"/>
        <v>1</v>
      </c>
    </row>
    <row r="39" spans="1:29" ht="15">
      <c r="A39" s="422"/>
      <c r="B39" s="374" t="s">
        <v>1699</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8"/>
      <c r="M39" s="2712"/>
      <c r="N39" s="2712"/>
      <c r="O39" s="2712"/>
      <c r="P39" s="3865"/>
      <c r="Q39" s="1348" t="str">
        <f t="shared" si="11"/>
        <v>市政基础设施</v>
      </c>
      <c r="R39" s="703" t="s">
        <v>18</v>
      </c>
      <c r="S39" s="704">
        <f t="shared" si="12"/>
        <v>100</v>
      </c>
      <c r="T39" s="703" t="s">
        <v>18</v>
      </c>
      <c r="U39" s="704">
        <f t="shared" si="13"/>
        <v>100</v>
      </c>
      <c r="V39" s="703" t="s">
        <v>18</v>
      </c>
      <c r="W39" s="704">
        <f t="shared" si="14"/>
        <v>100</v>
      </c>
      <c r="X39" s="1351"/>
      <c r="Y39" s="3867"/>
      <c r="Z39" s="1352" t="str">
        <f t="shared" si="18"/>
        <v>市政基础设施</v>
      </c>
      <c r="AA39" s="1349">
        <f t="shared" si="15"/>
        <v>1</v>
      </c>
      <c r="AB39" s="1349">
        <f t="shared" si="16"/>
        <v>1</v>
      </c>
      <c r="AC39" s="1349">
        <f t="shared" si="17"/>
        <v>1</v>
      </c>
    </row>
    <row r="40" spans="1:29" ht="15">
      <c r="A40" s="422"/>
      <c r="B40" s="374" t="s">
        <v>1700</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8"/>
      <c r="M40" s="2712"/>
      <c r="N40" s="2712"/>
      <c r="O40" s="2712"/>
      <c r="P40" s="3865"/>
      <c r="Q40" s="1348" t="str">
        <f t="shared" si="11"/>
        <v>房型</v>
      </c>
      <c r="R40" s="703" t="s">
        <v>18</v>
      </c>
      <c r="S40" s="704">
        <f t="shared" si="12"/>
        <v>100</v>
      </c>
      <c r="T40" s="703" t="s">
        <v>18</v>
      </c>
      <c r="U40" s="704">
        <f t="shared" si="13"/>
        <v>100</v>
      </c>
      <c r="V40" s="703" t="s">
        <v>18</v>
      </c>
      <c r="W40" s="704">
        <f t="shared" si="14"/>
        <v>100</v>
      </c>
      <c r="X40" s="1351"/>
      <c r="Y40" s="3867"/>
      <c r="Z40" s="1352" t="str">
        <f t="shared" si="18"/>
        <v>房型</v>
      </c>
      <c r="AA40" s="1349">
        <f t="shared" si="15"/>
        <v>1</v>
      </c>
      <c r="AB40" s="1349">
        <f t="shared" si="16"/>
        <v>1</v>
      </c>
      <c r="AC40" s="1349">
        <f t="shared" si="17"/>
        <v>1</v>
      </c>
    </row>
    <row r="41" spans="1:29" s="421" customFormat="1" ht="28.8">
      <c r="A41" s="418"/>
      <c r="B41" s="374" t="s">
        <v>1701</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7"/>
      <c r="M41" s="2719"/>
      <c r="N41" s="2719"/>
      <c r="O41" s="2719"/>
      <c r="P41" s="3865"/>
      <c r="Q41" s="705" t="str">
        <f t="shared" si="11"/>
        <v>单套/主力户型建筑面积</v>
      </c>
      <c r="R41" s="706" t="s">
        <v>18</v>
      </c>
      <c r="S41" s="707">
        <f t="shared" si="12"/>
        <v>100</v>
      </c>
      <c r="T41" s="706" t="s">
        <v>18</v>
      </c>
      <c r="U41" s="707">
        <f t="shared" si="13"/>
        <v>100</v>
      </c>
      <c r="V41" s="706" t="s">
        <v>18</v>
      </c>
      <c r="W41" s="707">
        <f t="shared" si="14"/>
        <v>100</v>
      </c>
      <c r="X41" s="708"/>
      <c r="Y41" s="3867"/>
      <c r="Z41" s="709" t="str">
        <f t="shared" si="18"/>
        <v>单套/主力户型建筑面积</v>
      </c>
      <c r="AA41" s="1349">
        <f t="shared" si="15"/>
        <v>1</v>
      </c>
      <c r="AB41" s="1349">
        <f t="shared" si="16"/>
        <v>1</v>
      </c>
      <c r="AC41" s="1349">
        <f t="shared" si="17"/>
        <v>1</v>
      </c>
    </row>
    <row r="42" spans="1:29" ht="15">
      <c r="A42" s="422"/>
      <c r="B42" s="374" t="s">
        <v>1702</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8"/>
      <c r="M42" s="2712"/>
      <c r="N42" s="2712"/>
      <c r="O42" s="2712"/>
      <c r="P42" s="3865"/>
      <c r="Q42" s="1348" t="str">
        <f t="shared" si="11"/>
        <v>内部装修</v>
      </c>
      <c r="R42" s="703" t="s">
        <v>18</v>
      </c>
      <c r="S42" s="704">
        <f t="shared" si="12"/>
        <v>100</v>
      </c>
      <c r="T42" s="703" t="s">
        <v>18</v>
      </c>
      <c r="U42" s="704">
        <f t="shared" si="13"/>
        <v>100</v>
      </c>
      <c r="V42" s="703" t="s">
        <v>18</v>
      </c>
      <c r="W42" s="704">
        <f t="shared" si="14"/>
        <v>100</v>
      </c>
      <c r="X42" s="1351"/>
      <c r="Y42" s="3867"/>
      <c r="Z42" s="1352" t="str">
        <f t="shared" si="18"/>
        <v>内部装修</v>
      </c>
      <c r="AA42" s="1349">
        <f t="shared" si="15"/>
        <v>1</v>
      </c>
      <c r="AB42" s="1349">
        <f t="shared" si="16"/>
        <v>1</v>
      </c>
      <c r="AC42" s="1349">
        <f t="shared" si="17"/>
        <v>1</v>
      </c>
    </row>
    <row r="43" spans="1:29" ht="28.8">
      <c r="A43" s="422"/>
      <c r="B43" s="374" t="s">
        <v>1703</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8"/>
      <c r="M43" s="2712"/>
      <c r="N43" s="2712"/>
      <c r="O43" s="2712"/>
      <c r="P43" s="3865"/>
      <c r="Q43" s="1348" t="str">
        <f t="shared" si="11"/>
        <v>内部装修维护情况</v>
      </c>
      <c r="R43" s="703" t="s">
        <v>18</v>
      </c>
      <c r="S43" s="704">
        <f t="shared" si="12"/>
        <v>100</v>
      </c>
      <c r="T43" s="703" t="s">
        <v>18</v>
      </c>
      <c r="U43" s="704">
        <f t="shared" si="13"/>
        <v>100</v>
      </c>
      <c r="V43" s="703" t="s">
        <v>18</v>
      </c>
      <c r="W43" s="704">
        <f t="shared" si="14"/>
        <v>100</v>
      </c>
      <c r="X43" s="1351"/>
      <c r="Y43" s="3867"/>
      <c r="Z43" s="1352" t="str">
        <f t="shared" si="18"/>
        <v>内部装修维护情况</v>
      </c>
      <c r="AA43" s="1349">
        <f t="shared" si="15"/>
        <v>1</v>
      </c>
      <c r="AB43" s="1349">
        <f t="shared" si="16"/>
        <v>1</v>
      </c>
      <c r="AC43" s="1349">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3"/>
      <c r="M44" s="2714"/>
      <c r="N44" s="2714"/>
      <c r="O44" s="2714"/>
      <c r="P44" s="3865"/>
      <c r="Q44" s="1339">
        <f t="shared" si="11"/>
        <v>111</v>
      </c>
      <c r="R44" s="699" t="s">
        <v>18</v>
      </c>
      <c r="S44" s="700">
        <f t="shared" si="12"/>
        <v>100</v>
      </c>
      <c r="T44" s="699" t="s">
        <v>18</v>
      </c>
      <c r="U44" s="700">
        <f t="shared" si="13"/>
        <v>100</v>
      </c>
      <c r="V44" s="699" t="s">
        <v>18</v>
      </c>
      <c r="W44" s="700">
        <f t="shared" si="14"/>
        <v>100</v>
      </c>
      <c r="X44" s="701"/>
      <c r="Y44" s="3867"/>
      <c r="Z44" s="52">
        <f t="shared" si="18"/>
        <v>111</v>
      </c>
      <c r="AA44" s="702">
        <f t="shared" si="15"/>
        <v>1</v>
      </c>
      <c r="AB44" s="702">
        <f t="shared" si="16"/>
        <v>1</v>
      </c>
      <c r="AC44" s="702">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865"/>
      <c r="Q45" s="1348">
        <f t="shared" si="11"/>
        <v>111</v>
      </c>
      <c r="R45" s="703" t="s">
        <v>18</v>
      </c>
      <c r="S45" s="704">
        <f t="shared" si="12"/>
        <v>100</v>
      </c>
      <c r="T45" s="703" t="s">
        <v>18</v>
      </c>
      <c r="U45" s="704">
        <f t="shared" si="13"/>
        <v>100</v>
      </c>
      <c r="V45" s="703" t="s">
        <v>18</v>
      </c>
      <c r="W45" s="704">
        <f t="shared" si="14"/>
        <v>100</v>
      </c>
      <c r="X45" s="1351"/>
      <c r="Y45" s="3867"/>
      <c r="Z45" s="1352">
        <f t="shared" si="18"/>
        <v>111</v>
      </c>
      <c r="AA45" s="1349">
        <f t="shared" si="15"/>
        <v>1</v>
      </c>
      <c r="AB45" s="1349">
        <f t="shared" si="16"/>
        <v>1</v>
      </c>
      <c r="AC45" s="1349">
        <f t="shared" si="17"/>
        <v>1</v>
      </c>
    </row>
    <row r="46" spans="1:29" ht="15.6"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866"/>
      <c r="Q46" s="1348">
        <f t="shared" si="11"/>
        <v>111</v>
      </c>
      <c r="R46" s="703" t="s">
        <v>17</v>
      </c>
      <c r="S46" s="704">
        <f t="shared" si="12"/>
        <v>100</v>
      </c>
      <c r="T46" s="703" t="s">
        <v>17</v>
      </c>
      <c r="U46" s="704">
        <f t="shared" si="13"/>
        <v>100</v>
      </c>
      <c r="V46" s="703" t="s">
        <v>17</v>
      </c>
      <c r="W46" s="704">
        <f t="shared" si="14"/>
        <v>100</v>
      </c>
      <c r="X46" s="1351"/>
      <c r="Y46" s="3868"/>
      <c r="Z46" s="1352">
        <f t="shared" si="18"/>
        <v>111</v>
      </c>
      <c r="AA46" s="1349">
        <f t="shared" si="15"/>
        <v>1</v>
      </c>
      <c r="AB46" s="1349">
        <f t="shared" si="16"/>
        <v>1</v>
      </c>
      <c r="AC46" s="1349">
        <f t="shared" si="17"/>
        <v>1</v>
      </c>
    </row>
    <row r="47" spans="1:29" ht="14.4">
      <c r="A47" s="429" t="s">
        <v>1704</v>
      </c>
      <c r="B47" s="430"/>
      <c r="C47" s="1150" t="s">
        <v>16</v>
      </c>
      <c r="D47" s="1151"/>
      <c r="E47" s="1152"/>
      <c r="F47" s="1153"/>
      <c r="G47" s="1154"/>
      <c r="H47" s="1155"/>
      <c r="I47" s="1152"/>
      <c r="J47" s="1155"/>
      <c r="K47" s="1910"/>
      <c r="L47" s="2720"/>
      <c r="M47" s="2721"/>
      <c r="N47" s="2712"/>
      <c r="O47" s="2721"/>
      <c r="P47" s="3860" t="str">
        <f>A47</f>
        <v>成交单价（元/平方米）</v>
      </c>
      <c r="Q47" s="3860"/>
      <c r="R47" s="3861">
        <f>E47</f>
        <v>0</v>
      </c>
      <c r="S47" s="3861"/>
      <c r="T47" s="3861">
        <f>G47</f>
        <v>0</v>
      </c>
      <c r="U47" s="3861"/>
      <c r="V47" s="3861">
        <f>I47</f>
        <v>0</v>
      </c>
      <c r="W47" s="3861"/>
      <c r="X47" s="688"/>
      <c r="Y47" s="710"/>
      <c r="Z47" s="688"/>
      <c r="AA47" s="688"/>
      <c r="AB47" s="688"/>
      <c r="AC47" s="688"/>
    </row>
    <row r="48" spans="1:29" ht="15" thickBot="1">
      <c r="A48" s="436" t="s">
        <v>1705</v>
      </c>
      <c r="B48" s="437"/>
      <c r="C48" s="1156" t="e">
        <f>R49</f>
        <v>#DIV/0!</v>
      </c>
      <c r="D48" s="2313" t="s">
        <v>2134</v>
      </c>
      <c r="E48" s="1157" t="e">
        <f>R48</f>
        <v>#DIV/0!</v>
      </c>
      <c r="F48" s="2314"/>
      <c r="G48" s="1156" t="e">
        <f>T48</f>
        <v>#DIV/0!</v>
      </c>
      <c r="H48" s="2314"/>
      <c r="I48" s="1157" t="e">
        <f>V48</f>
        <v>#DIV/0!</v>
      </c>
      <c r="J48" s="2314"/>
      <c r="K48" s="2315">
        <f>F48+H48+J48</f>
        <v>0</v>
      </c>
      <c r="L48" s="2720"/>
      <c r="M48" s="2721"/>
      <c r="N48" s="2721"/>
      <c r="O48" s="2721"/>
      <c r="P48" s="3860" t="str">
        <f>A48</f>
        <v>比较价值（元/平方米）</v>
      </c>
      <c r="Q48" s="3860"/>
      <c r="R48" s="3861" t="e">
        <f>IF(F1="售价",ROUND(PRODUCT(R47,AA7:AA46),0),ROUND(PRODUCT(R47,AA7:AA46),1))</f>
        <v>#DIV/0!</v>
      </c>
      <c r="S48" s="3861"/>
      <c r="T48" s="3861" t="e">
        <f>IF(F1="售价",ROUND(PRODUCT(T47,AB7:AB46),0),ROUND(PRODUCT(T47,AB7:AB46),1))</f>
        <v>#DIV/0!</v>
      </c>
      <c r="U48" s="3861"/>
      <c r="V48" s="3861" t="e">
        <f>IF(F1="售价",ROUND(PRODUCT(V47,AC7:AC46),0),ROUND(PRODUCT(V47,AC7:AC46),1))</f>
        <v>#DIV/0!</v>
      </c>
      <c r="W48" s="3861"/>
      <c r="X48" s="688"/>
      <c r="Y48" s="688"/>
      <c r="Z48" s="688"/>
      <c r="AA48" s="688"/>
      <c r="AB48" s="688"/>
      <c r="AC48" s="688"/>
    </row>
    <row r="49" spans="1:29" ht="15" thickBot="1">
      <c r="A49" s="440" t="s">
        <v>1706</v>
      </c>
      <c r="B49" s="441"/>
      <c r="C49" s="1158" t="e">
        <f>R49</f>
        <v>#DIV/0!</v>
      </c>
      <c r="D49" s="1159"/>
      <c r="E49" s="1159"/>
      <c r="F49" s="1159"/>
      <c r="G49" s="1159"/>
      <c r="H49" s="1159"/>
      <c r="I49" s="1159"/>
      <c r="J49" s="1159"/>
      <c r="K49" s="1911"/>
      <c r="L49" s="2720"/>
      <c r="M49" s="2721"/>
      <c r="N49" s="2721"/>
      <c r="O49" s="2721"/>
      <c r="P49" s="3857" t="str">
        <f>A49</f>
        <v>估价对象XX用房的比较价值（楼面单价，元/平方米）</v>
      </c>
      <c r="Q49" s="3858"/>
      <c r="R49" s="3859" t="e">
        <f>IF(F1="售价",ROUND(IF(D48="简单平均",AVERAGE(R48:V48),R48*F48+T48*H48+V48*J48),0),ROUND(IF(D48="简单平均",AVERAGE(R48:V48),R48*F48+T48*H48+V48*J48),1))</f>
        <v>#DIV/0!</v>
      </c>
      <c r="S49" s="3859"/>
      <c r="T49" s="3859"/>
      <c r="U49" s="3859"/>
      <c r="V49" s="3859"/>
      <c r="W49" s="3859"/>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1707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1708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1709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2.2" thickBot="1">
      <c r="A57" s="692" t="s">
        <v>1710</v>
      </c>
      <c r="B57" s="688"/>
      <c r="C57" s="693"/>
      <c r="D57" s="693"/>
      <c r="E57" s="693"/>
      <c r="F57" s="694"/>
      <c r="G57" s="694"/>
      <c r="H57" s="693"/>
      <c r="I57" s="693"/>
      <c r="J57" s="693"/>
      <c r="K57" s="937"/>
      <c r="L57" s="938"/>
      <c r="M57" s="936"/>
      <c r="N57" s="936"/>
      <c r="O57" s="936"/>
      <c r="P57" s="1914"/>
      <c r="Q57" s="452"/>
    </row>
    <row r="58" spans="1:29" s="456" customFormat="1" ht="14.4">
      <c r="A58" s="453" t="s">
        <v>1711</v>
      </c>
      <c r="B58" s="454"/>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c r="A59" s="457"/>
      <c r="B59" s="1915"/>
      <c r="C59" s="1179">
        <v>100</v>
      </c>
      <c r="D59" s="459"/>
      <c r="E59" s="460"/>
      <c r="F59" s="460"/>
      <c r="G59" s="460"/>
      <c r="H59" s="460"/>
      <c r="I59" s="460"/>
      <c r="J59" s="460"/>
      <c r="K59" s="460"/>
      <c r="L59" s="460"/>
      <c r="M59" s="461"/>
      <c r="N59" s="460"/>
      <c r="O59" s="461"/>
      <c r="P59" s="1916"/>
    </row>
    <row r="60" spans="1:29" s="108" customFormat="1" ht="15" thickBot="1">
      <c r="A60" s="463" t="s">
        <v>1712</v>
      </c>
      <c r="B60" s="464"/>
      <c r="C60" s="465"/>
      <c r="D60" s="466"/>
      <c r="E60" s="466"/>
      <c r="F60" s="466"/>
      <c r="G60" s="466"/>
      <c r="H60" s="466"/>
      <c r="I60" s="466"/>
      <c r="J60" s="466"/>
      <c r="K60" s="466"/>
      <c r="L60" s="466"/>
      <c r="M60" s="467"/>
      <c r="N60" s="466"/>
      <c r="O60" s="467"/>
      <c r="P60" s="1916"/>
      <c r="Q60" s="452"/>
    </row>
    <row r="61" spans="1:29" s="108" customFormat="1" ht="14.4">
      <c r="A61" s="469" t="s">
        <v>1713</v>
      </c>
      <c r="B61" s="458"/>
      <c r="C61" s="470" t="s">
        <v>1714</v>
      </c>
      <c r="D61" s="471"/>
      <c r="E61" s="471"/>
      <c r="F61" s="471"/>
      <c r="G61" s="471"/>
      <c r="H61" s="471"/>
      <c r="I61" s="471"/>
      <c r="J61" s="471"/>
      <c r="K61" s="471"/>
      <c r="L61" s="472"/>
      <c r="M61" s="473"/>
      <c r="N61" s="928"/>
      <c r="O61" s="928"/>
      <c r="P61" s="1917"/>
      <c r="Q61" s="452"/>
    </row>
    <row r="62" spans="1:29" s="108" customFormat="1" ht="14.4" thickBot="1">
      <c r="A62" s="469"/>
      <c r="B62" s="458"/>
      <c r="C62" s="459">
        <v>100</v>
      </c>
      <c r="D62" s="460"/>
      <c r="E62" s="460"/>
      <c r="F62" s="460"/>
      <c r="G62" s="460"/>
      <c r="H62" s="460"/>
      <c r="I62" s="460"/>
      <c r="J62" s="460"/>
      <c r="K62" s="460"/>
      <c r="L62" s="460"/>
      <c r="M62" s="462"/>
      <c r="N62" s="928"/>
      <c r="O62" s="928"/>
      <c r="P62" s="1916"/>
      <c r="Q62" s="452"/>
    </row>
    <row r="63" spans="1:29" ht="14.4">
      <c r="A63" s="475" t="s">
        <v>1715</v>
      </c>
      <c r="B63" s="476" t="s">
        <v>1681</v>
      </c>
      <c r="C63" s="477">
        <f>C9</f>
        <v>0</v>
      </c>
      <c r="D63" s="478"/>
      <c r="E63" s="478"/>
      <c r="F63" s="478"/>
      <c r="G63" s="478"/>
      <c r="H63" s="478"/>
      <c r="I63" s="478"/>
      <c r="J63" s="478"/>
      <c r="K63" s="479"/>
      <c r="L63" s="480"/>
      <c r="M63" s="481"/>
      <c r="N63" s="929"/>
      <c r="O63" s="929"/>
      <c r="P63" s="1918"/>
      <c r="Q63" s="452"/>
    </row>
    <row r="64" spans="1:29" ht="14.4" thickBot="1">
      <c r="A64" s="482"/>
      <c r="B64" s="483"/>
      <c r="C64" s="484">
        <v>100</v>
      </c>
      <c r="D64" s="484"/>
      <c r="E64" s="484"/>
      <c r="F64" s="484"/>
      <c r="G64" s="484"/>
      <c r="H64" s="484"/>
      <c r="I64" s="484"/>
      <c r="J64" s="484"/>
      <c r="K64" s="484"/>
      <c r="L64" s="484"/>
      <c r="M64" s="485"/>
      <c r="N64" s="930"/>
      <c r="O64" s="930"/>
      <c r="P64" s="1918"/>
      <c r="Q64" s="452"/>
    </row>
    <row r="65" spans="1:17" ht="29.4" thickTop="1">
      <c r="A65" s="482"/>
      <c r="B65" s="486" t="s">
        <v>1684</v>
      </c>
      <c r="C65" s="531"/>
      <c r="D65" s="531"/>
      <c r="E65" s="531"/>
      <c r="F65" s="531"/>
      <c r="G65" s="531"/>
      <c r="H65" s="531"/>
      <c r="I65" s="531"/>
      <c r="J65" s="531"/>
      <c r="K65" s="531"/>
      <c r="L65" s="531"/>
      <c r="M65" s="531"/>
      <c r="N65" s="930"/>
      <c r="O65" s="930"/>
      <c r="P65" s="1918"/>
      <c r="Q65" s="452"/>
    </row>
    <row r="66" spans="1:17" ht="14.4" thickBot="1">
      <c r="A66" s="482"/>
      <c r="B66" s="491"/>
      <c r="C66" s="484"/>
      <c r="D66" s="484"/>
      <c r="E66" s="484"/>
      <c r="F66" s="484"/>
      <c r="G66" s="484"/>
      <c r="H66" s="484"/>
      <c r="I66" s="484"/>
      <c r="J66" s="484"/>
      <c r="K66" s="484"/>
      <c r="L66" s="484"/>
      <c r="M66" s="485"/>
      <c r="N66" s="930"/>
      <c r="O66" s="930"/>
      <c r="P66" s="1918"/>
      <c r="Q66" s="452"/>
    </row>
    <row r="67" spans="1:17" ht="15" thickTop="1">
      <c r="A67" s="482"/>
      <c r="B67" s="494" t="s">
        <v>1685</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8"/>
      <c r="Q67" s="452"/>
    </row>
    <row r="68" spans="1:17">
      <c r="A68" s="482"/>
      <c r="B68" s="496"/>
      <c r="C68" s="497"/>
      <c r="D68" s="497"/>
      <c r="E68" s="497"/>
      <c r="F68" s="497"/>
      <c r="G68" s="497"/>
      <c r="H68" s="497"/>
      <c r="I68" s="497"/>
      <c r="J68" s="497"/>
      <c r="K68" s="498"/>
      <c r="L68" s="499"/>
      <c r="M68" s="500"/>
      <c r="N68" s="929"/>
      <c r="O68" s="929"/>
      <c r="P68" s="1918"/>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8"/>
      <c r="Q69" s="452"/>
    </row>
    <row r="70" spans="1:17" s="421" customFormat="1" ht="14.4" thickTop="1">
      <c r="A70" s="501"/>
      <c r="B70" s="486">
        <f>B12</f>
        <v>111</v>
      </c>
      <c r="C70" s="502"/>
      <c r="D70" s="502"/>
      <c r="E70" s="502"/>
      <c r="F70" s="502"/>
      <c r="G70" s="502"/>
      <c r="H70" s="503"/>
      <c r="I70" s="503"/>
      <c r="J70" s="503"/>
      <c r="K70" s="503"/>
      <c r="L70" s="504"/>
      <c r="M70" s="505"/>
      <c r="N70" s="931"/>
      <c r="O70" s="931"/>
      <c r="P70" s="1919"/>
      <c r="Q70" s="507"/>
    </row>
    <row r="71" spans="1:17" s="421" customFormat="1" ht="14.4" thickBot="1">
      <c r="A71" s="501"/>
      <c r="B71" s="491"/>
      <c r="C71" s="508"/>
      <c r="D71" s="484"/>
      <c r="E71" s="484"/>
      <c r="F71" s="484"/>
      <c r="G71" s="484"/>
      <c r="H71" s="484"/>
      <c r="I71" s="484"/>
      <c r="J71" s="484"/>
      <c r="K71" s="484"/>
      <c r="L71" s="484"/>
      <c r="M71" s="485"/>
      <c r="N71" s="930"/>
      <c r="O71" s="930"/>
      <c r="P71" s="1919"/>
      <c r="Q71" s="507"/>
    </row>
    <row r="72" spans="1:17" s="421" customFormat="1" ht="14.4" thickTop="1">
      <c r="A72" s="501"/>
      <c r="B72" s="486">
        <f>B13</f>
        <v>111</v>
      </c>
      <c r="C72" s="502"/>
      <c r="D72" s="502"/>
      <c r="E72" s="502"/>
      <c r="F72" s="502"/>
      <c r="G72" s="502"/>
      <c r="H72" s="503"/>
      <c r="I72" s="503"/>
      <c r="J72" s="503"/>
      <c r="K72" s="503"/>
      <c r="L72" s="504"/>
      <c r="M72" s="505"/>
      <c r="N72" s="931"/>
      <c r="O72" s="931"/>
      <c r="P72" s="1920"/>
      <c r="Q72" s="509"/>
    </row>
    <row r="73" spans="1:17" s="421" customFormat="1" ht="14.4" thickBot="1">
      <c r="A73" s="501"/>
      <c r="B73" s="491"/>
      <c r="C73" s="508"/>
      <c r="D73" s="508"/>
      <c r="E73" s="508"/>
      <c r="F73" s="508"/>
      <c r="G73" s="508"/>
      <c r="H73" s="510"/>
      <c r="I73" s="510"/>
      <c r="J73" s="510"/>
      <c r="K73" s="510"/>
      <c r="L73" s="510"/>
      <c r="M73" s="511"/>
      <c r="N73" s="931"/>
      <c r="O73" s="931"/>
      <c r="P73" s="1919"/>
      <c r="Q73" s="507"/>
    </row>
    <row r="74" spans="1:17" s="421" customFormat="1" ht="14.4" thickTop="1">
      <c r="A74" s="501"/>
      <c r="B74" s="494">
        <f>B14</f>
        <v>111</v>
      </c>
      <c r="C74" s="502"/>
      <c r="D74" s="502"/>
      <c r="E74" s="502"/>
      <c r="F74" s="502"/>
      <c r="G74" s="471"/>
      <c r="H74" s="512"/>
      <c r="I74" s="512"/>
      <c r="J74" s="512"/>
      <c r="K74" s="512"/>
      <c r="L74" s="513"/>
      <c r="M74" s="514"/>
      <c r="N74" s="931"/>
      <c r="O74" s="931"/>
      <c r="P74" s="1921"/>
      <c r="Q74" s="507"/>
    </row>
    <row r="75" spans="1:17" s="421" customFormat="1" ht="14.4" thickBot="1">
      <c r="A75" s="516"/>
      <c r="B75" s="517"/>
      <c r="C75" s="518"/>
      <c r="D75" s="518"/>
      <c r="E75" s="518"/>
      <c r="F75" s="518"/>
      <c r="G75" s="518"/>
      <c r="H75" s="519"/>
      <c r="I75" s="519"/>
      <c r="J75" s="519"/>
      <c r="K75" s="519"/>
      <c r="L75" s="519"/>
      <c r="M75" s="520"/>
      <c r="N75" s="931"/>
      <c r="O75" s="931"/>
      <c r="P75" s="1919"/>
      <c r="Q75" s="507"/>
    </row>
    <row r="76" spans="1:17" ht="14.4">
      <c r="A76" s="475" t="s">
        <v>1686</v>
      </c>
      <c r="B76" s="476" t="s">
        <v>1716</v>
      </c>
      <c r="C76" s="521" t="s">
        <v>1717</v>
      </c>
      <c r="D76" s="521" t="s">
        <v>1718</v>
      </c>
      <c r="E76" s="521" t="s">
        <v>1719</v>
      </c>
      <c r="F76" s="521" t="s">
        <v>1720</v>
      </c>
      <c r="G76" s="521" t="s">
        <v>1721</v>
      </c>
      <c r="H76" s="477"/>
      <c r="I76" s="477"/>
      <c r="J76" s="477"/>
      <c r="K76" s="522"/>
      <c r="L76" s="523"/>
      <c r="M76" s="524"/>
      <c r="N76" s="929"/>
      <c r="O76" s="929"/>
      <c r="P76" s="1922"/>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0"/>
      <c r="O77" s="930"/>
      <c r="P77" s="1918"/>
      <c r="Q77" s="452"/>
    </row>
    <row r="78" spans="1:17" ht="15" thickTop="1">
      <c r="A78" s="482"/>
      <c r="B78" s="486" t="s">
        <v>1722</v>
      </c>
      <c r="C78" s="526" t="s">
        <v>1717</v>
      </c>
      <c r="D78" s="526" t="s">
        <v>1718</v>
      </c>
      <c r="E78" s="526" t="s">
        <v>1719</v>
      </c>
      <c r="F78" s="526" t="s">
        <v>1720</v>
      </c>
      <c r="G78" s="526" t="s">
        <v>1721</v>
      </c>
      <c r="H78" s="487"/>
      <c r="I78" s="487"/>
      <c r="J78" s="487"/>
      <c r="K78" s="488"/>
      <c r="L78" s="489"/>
      <c r="M78" s="490"/>
      <c r="N78" s="929"/>
      <c r="O78" s="929"/>
      <c r="P78" s="1918"/>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0"/>
      <c r="O79" s="930"/>
      <c r="P79" s="1918"/>
      <c r="Q79" s="452"/>
    </row>
    <row r="80" spans="1:17" ht="15" thickTop="1">
      <c r="A80" s="482"/>
      <c r="B80" s="486" t="s">
        <v>1723</v>
      </c>
      <c r="C80" s="526" t="s">
        <v>1717</v>
      </c>
      <c r="D80" s="526" t="s">
        <v>1718</v>
      </c>
      <c r="E80" s="526" t="s">
        <v>1719</v>
      </c>
      <c r="F80" s="526" t="s">
        <v>1720</v>
      </c>
      <c r="G80" s="526" t="s">
        <v>1721</v>
      </c>
      <c r="H80" s="487"/>
      <c r="I80" s="487"/>
      <c r="J80" s="487"/>
      <c r="K80" s="488"/>
      <c r="L80" s="489"/>
      <c r="M80" s="490"/>
      <c r="N80" s="929"/>
      <c r="O80" s="929"/>
      <c r="P80" s="1918"/>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0"/>
      <c r="O81" s="930"/>
      <c r="P81" s="1918"/>
      <c r="Q81" s="452"/>
    </row>
    <row r="82" spans="1:17" ht="15" thickTop="1">
      <c r="A82" s="482"/>
      <c r="B82" s="494" t="s">
        <v>1256</v>
      </c>
      <c r="C82" s="487" t="s">
        <v>1724</v>
      </c>
      <c r="D82" s="487" t="s">
        <v>1725</v>
      </c>
      <c r="E82" s="487" t="s">
        <v>1726</v>
      </c>
      <c r="F82" s="487" t="s">
        <v>1727</v>
      </c>
      <c r="G82" s="487" t="s">
        <v>1728</v>
      </c>
      <c r="H82" s="487"/>
      <c r="I82" s="487"/>
      <c r="J82" s="487"/>
      <c r="K82" s="487"/>
      <c r="L82" s="487"/>
      <c r="M82" s="1125"/>
      <c r="N82" s="930"/>
      <c r="O82" s="930"/>
      <c r="P82" s="1918"/>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8"/>
      <c r="Q83" s="452"/>
    </row>
    <row r="84" spans="1:17" ht="15" thickTop="1">
      <c r="A84" s="482"/>
      <c r="B84" s="486" t="s">
        <v>1729</v>
      </c>
      <c r="C84" s="526" t="s">
        <v>1717</v>
      </c>
      <c r="D84" s="526" t="s">
        <v>1718</v>
      </c>
      <c r="E84" s="526" t="s">
        <v>1719</v>
      </c>
      <c r="F84" s="526" t="s">
        <v>1720</v>
      </c>
      <c r="G84" s="526" t="s">
        <v>1721</v>
      </c>
      <c r="H84" s="487"/>
      <c r="I84" s="487"/>
      <c r="J84" s="487"/>
      <c r="K84" s="488"/>
      <c r="L84" s="489"/>
      <c r="M84" s="490"/>
      <c r="N84" s="929"/>
      <c r="O84" s="929"/>
      <c r="P84" s="1918"/>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0"/>
      <c r="O85" s="930"/>
      <c r="P85" s="1918"/>
      <c r="Q85" s="452"/>
    </row>
    <row r="86" spans="1:17" s="108" customFormat="1" ht="15" thickTop="1">
      <c r="A86" s="527"/>
      <c r="B86" s="486" t="s">
        <v>1730</v>
      </c>
      <c r="C86" s="502"/>
      <c r="D86" s="502"/>
      <c r="E86" s="502"/>
      <c r="F86" s="502"/>
      <c r="G86" s="502"/>
      <c r="H86" s="502"/>
      <c r="I86" s="502"/>
      <c r="J86" s="502"/>
      <c r="K86" s="502"/>
      <c r="L86" s="528"/>
      <c r="M86" s="529"/>
      <c r="N86" s="928"/>
      <c r="O86" s="928"/>
      <c r="P86" s="1918"/>
      <c r="Q86" s="452"/>
    </row>
    <row r="87" spans="1:17" s="108"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8"/>
      <c r="Q87" s="452"/>
    </row>
    <row r="88" spans="1:17" s="108" customFormat="1" ht="15" thickTop="1">
      <c r="A88" s="527"/>
      <c r="B88" s="486" t="s">
        <v>1731</v>
      </c>
      <c r="C88" s="502"/>
      <c r="D88" s="502"/>
      <c r="E88" s="502"/>
      <c r="F88" s="1923"/>
      <c r="G88" s="502"/>
      <c r="H88" s="502"/>
      <c r="I88" s="502"/>
      <c r="J88" s="502"/>
      <c r="K88" s="502"/>
      <c r="L88" s="502"/>
      <c r="M88" s="529"/>
      <c r="N88" s="928"/>
      <c r="O88" s="928"/>
      <c r="P88" s="1918"/>
      <c r="Q88" s="452"/>
    </row>
    <row r="89" spans="1:17" s="108"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8"/>
      <c r="Q89" s="452"/>
    </row>
    <row r="90" spans="1:17" s="421" customFormat="1" ht="14.4" thickTop="1">
      <c r="A90" s="501"/>
      <c r="B90" s="486">
        <f>B27</f>
        <v>111</v>
      </c>
      <c r="C90" s="502"/>
      <c r="D90" s="502"/>
      <c r="E90" s="502"/>
      <c r="F90" s="502"/>
      <c r="G90" s="502"/>
      <c r="H90" s="503"/>
      <c r="I90" s="503"/>
      <c r="J90" s="503"/>
      <c r="K90" s="503"/>
      <c r="L90" s="504"/>
      <c r="M90" s="505"/>
      <c r="N90" s="931"/>
      <c r="O90" s="931"/>
      <c r="P90" s="1919"/>
      <c r="Q90" s="507"/>
    </row>
    <row r="91" spans="1:17" s="421" customFormat="1" ht="14.4" thickBot="1">
      <c r="A91" s="501"/>
      <c r="B91" s="491"/>
      <c r="C91" s="508"/>
      <c r="D91" s="508"/>
      <c r="E91" s="508"/>
      <c r="F91" s="508"/>
      <c r="G91" s="508"/>
      <c r="H91" s="510"/>
      <c r="I91" s="510"/>
      <c r="J91" s="510"/>
      <c r="K91" s="510"/>
      <c r="L91" s="510"/>
      <c r="M91" s="511"/>
      <c r="N91" s="931"/>
      <c r="O91" s="931"/>
      <c r="P91" s="1919"/>
      <c r="Q91" s="507"/>
    </row>
    <row r="92" spans="1:17" ht="14.4" thickTop="1">
      <c r="A92" s="482"/>
      <c r="B92" s="486">
        <f>B28</f>
        <v>111</v>
      </c>
      <c r="C92" s="502"/>
      <c r="D92" s="502"/>
      <c r="E92" s="502"/>
      <c r="F92" s="502"/>
      <c r="G92" s="531"/>
      <c r="H92" s="531"/>
      <c r="I92" s="531"/>
      <c r="J92" s="531"/>
      <c r="K92" s="532"/>
      <c r="L92" s="533"/>
      <c r="M92" s="534"/>
      <c r="N92" s="929"/>
      <c r="O92" s="929"/>
      <c r="P92" s="1918"/>
      <c r="Q92" s="452"/>
    </row>
    <row r="93" spans="1:17" ht="14.4" thickBot="1">
      <c r="A93" s="482"/>
      <c r="B93" s="491"/>
      <c r="C93" s="508"/>
      <c r="D93" s="484"/>
      <c r="E93" s="484"/>
      <c r="F93" s="484"/>
      <c r="G93" s="484"/>
      <c r="H93" s="484"/>
      <c r="I93" s="484"/>
      <c r="J93" s="484"/>
      <c r="K93" s="484"/>
      <c r="L93" s="484"/>
      <c r="M93" s="485"/>
      <c r="N93" s="930"/>
      <c r="O93" s="930"/>
      <c r="P93" s="1918"/>
      <c r="Q93" s="452"/>
    </row>
    <row r="94" spans="1:17" ht="14.4" thickTop="1">
      <c r="A94" s="482"/>
      <c r="B94" s="486">
        <f>B29</f>
        <v>111</v>
      </c>
      <c r="C94" s="502"/>
      <c r="D94" s="502"/>
      <c r="E94" s="502"/>
      <c r="F94" s="502"/>
      <c r="G94" s="531"/>
      <c r="H94" s="531"/>
      <c r="I94" s="531"/>
      <c r="J94" s="531"/>
      <c r="K94" s="532"/>
      <c r="L94" s="533"/>
      <c r="M94" s="534"/>
      <c r="N94" s="929"/>
      <c r="O94" s="929"/>
      <c r="P94" s="1918"/>
      <c r="Q94" s="452"/>
    </row>
    <row r="95" spans="1:17" ht="14.4" thickBot="1">
      <c r="A95" s="482"/>
      <c r="B95" s="491"/>
      <c r="C95" s="508"/>
      <c r="D95" s="508"/>
      <c r="E95" s="508"/>
      <c r="F95" s="508"/>
      <c r="G95" s="484"/>
      <c r="H95" s="484"/>
      <c r="I95" s="484"/>
      <c r="J95" s="484"/>
      <c r="K95" s="484"/>
      <c r="L95" s="484"/>
      <c r="M95" s="485"/>
      <c r="N95" s="930"/>
      <c r="O95" s="930"/>
      <c r="P95" s="1918"/>
      <c r="Q95" s="452"/>
    </row>
    <row r="96" spans="1:17" ht="14.4" thickTop="1">
      <c r="A96" s="482"/>
      <c r="B96" s="486">
        <f>B30</f>
        <v>111</v>
      </c>
      <c r="C96" s="502"/>
      <c r="D96" s="502"/>
      <c r="E96" s="502"/>
      <c r="F96" s="502"/>
      <c r="G96" s="531"/>
      <c r="H96" s="531"/>
      <c r="I96" s="531"/>
      <c r="J96" s="531"/>
      <c r="K96" s="532"/>
      <c r="L96" s="533"/>
      <c r="M96" s="534"/>
      <c r="N96" s="929"/>
      <c r="O96" s="929"/>
      <c r="P96" s="1918"/>
      <c r="Q96" s="452"/>
    </row>
    <row r="97" spans="1:17" ht="14.4" thickBot="1">
      <c r="A97" s="482"/>
      <c r="B97" s="491"/>
      <c r="C97" s="518"/>
      <c r="D97" s="518"/>
      <c r="E97" s="518"/>
      <c r="F97" s="518"/>
      <c r="G97" s="484"/>
      <c r="H97" s="484"/>
      <c r="I97" s="484"/>
      <c r="J97" s="484"/>
      <c r="K97" s="484"/>
      <c r="L97" s="484"/>
      <c r="M97" s="485"/>
      <c r="N97" s="930"/>
      <c r="O97" s="930"/>
      <c r="P97" s="1918"/>
      <c r="Q97" s="452"/>
    </row>
    <row r="98" spans="1:17" ht="14.4" thickTop="1">
      <c r="A98" s="482"/>
      <c r="B98" s="494">
        <f>B31</f>
        <v>111</v>
      </c>
      <c r="C98" s="535"/>
      <c r="D98" s="535"/>
      <c r="E98" s="535"/>
      <c r="F98" s="535"/>
      <c r="G98" s="535"/>
      <c r="H98" s="535"/>
      <c r="I98" s="535"/>
      <c r="J98" s="535"/>
      <c r="K98" s="536"/>
      <c r="L98" s="537"/>
      <c r="M98" s="538"/>
      <c r="N98" s="929"/>
      <c r="O98" s="929"/>
      <c r="P98" s="1918"/>
      <c r="Q98" s="452"/>
    </row>
    <row r="99" spans="1:17" ht="14.4" thickBot="1">
      <c r="A99" s="1924"/>
      <c r="B99" s="517"/>
      <c r="C99" s="539"/>
      <c r="D99" s="539"/>
      <c r="E99" s="539"/>
      <c r="F99" s="539"/>
      <c r="G99" s="539"/>
      <c r="H99" s="539"/>
      <c r="I99" s="539"/>
      <c r="J99" s="539"/>
      <c r="K99" s="539"/>
      <c r="L99" s="539"/>
      <c r="M99" s="540"/>
      <c r="N99" s="930"/>
      <c r="O99" s="930"/>
      <c r="P99" s="1918"/>
      <c r="Q99" s="452"/>
    </row>
    <row r="100" spans="1:17" ht="14.4">
      <c r="A100" s="475" t="s">
        <v>1690</v>
      </c>
      <c r="B100" s="476" t="s">
        <v>1732</v>
      </c>
      <c r="C100" s="478"/>
      <c r="D100" s="478"/>
      <c r="E100" s="478"/>
      <c r="F100" s="478"/>
      <c r="G100" s="478"/>
      <c r="H100" s="478"/>
      <c r="I100" s="478"/>
      <c r="J100" s="478"/>
      <c r="K100" s="479"/>
      <c r="L100" s="480"/>
      <c r="M100" s="481"/>
      <c r="N100" s="929"/>
      <c r="O100" s="929"/>
      <c r="P100" s="1918"/>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8"/>
      <c r="Q101" s="452"/>
    </row>
    <row r="102" spans="1:17" ht="15" thickTop="1">
      <c r="A102" s="482"/>
      <c r="B102" s="486" t="s">
        <v>1733</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8"/>
      <c r="Q102" s="452"/>
    </row>
    <row r="103" spans="1:17" s="421" customFormat="1">
      <c r="A103" s="541"/>
      <c r="B103" s="542"/>
      <c r="C103" s="543"/>
      <c r="D103" s="543"/>
      <c r="E103" s="543"/>
      <c r="F103" s="543"/>
      <c r="G103" s="543"/>
      <c r="H103" s="543"/>
      <c r="I103" s="543"/>
      <c r="J103" s="544"/>
      <c r="K103" s="544"/>
      <c r="L103" s="545"/>
      <c r="M103" s="546"/>
      <c r="N103" s="931"/>
      <c r="O103" s="931"/>
      <c r="P103" s="1919"/>
      <c r="Q103" s="507"/>
    </row>
    <row r="104" spans="1:17" s="421" customFormat="1" ht="14.4" thickBot="1">
      <c r="A104" s="501"/>
      <c r="B104" s="491"/>
      <c r="C104" s="508"/>
      <c r="D104" s="484"/>
      <c r="E104" s="484"/>
      <c r="F104" s="484"/>
      <c r="G104" s="484"/>
      <c r="H104" s="484"/>
      <c r="I104" s="484"/>
      <c r="J104" s="484"/>
      <c r="K104" s="484"/>
      <c r="L104" s="484"/>
      <c r="M104" s="484"/>
      <c r="N104" s="930"/>
      <c r="O104" s="930"/>
      <c r="P104" s="1919"/>
      <c r="Q104" s="507"/>
    </row>
    <row r="105" spans="1:17" ht="15" thickTop="1">
      <c r="A105" s="547"/>
      <c r="B105" s="486" t="s">
        <v>1734</v>
      </c>
      <c r="C105" s="502"/>
      <c r="D105" s="502"/>
      <c r="E105" s="531"/>
      <c r="F105" s="531"/>
      <c r="G105" s="531"/>
      <c r="H105" s="531"/>
      <c r="I105" s="531"/>
      <c r="J105" s="531"/>
      <c r="K105" s="532"/>
      <c r="L105" s="533"/>
      <c r="M105" s="534"/>
      <c r="N105" s="929"/>
      <c r="O105" s="929"/>
      <c r="P105" s="1918"/>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8"/>
      <c r="Q106" s="452"/>
    </row>
    <row r="107" spans="1:17" ht="15" thickTop="1">
      <c r="A107" s="547"/>
      <c r="B107" s="486" t="s">
        <v>1735</v>
      </c>
      <c r="C107" s="531"/>
      <c r="D107" s="531"/>
      <c r="E107" s="531"/>
      <c r="F107" s="531"/>
      <c r="G107" s="531"/>
      <c r="H107" s="531"/>
      <c r="I107" s="531"/>
      <c r="J107" s="531"/>
      <c r="K107" s="532"/>
      <c r="L107" s="533"/>
      <c r="M107" s="534"/>
      <c r="N107" s="929"/>
      <c r="O107" s="929"/>
      <c r="P107" s="1918"/>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8"/>
      <c r="Q108" s="452"/>
    </row>
    <row r="109" spans="1:17" ht="15" thickTop="1">
      <c r="A109" s="547"/>
      <c r="B109" s="486" t="s">
        <v>1736</v>
      </c>
      <c r="C109" s="502"/>
      <c r="D109" s="502"/>
      <c r="E109" s="502"/>
      <c r="F109" s="531"/>
      <c r="G109" s="531"/>
      <c r="H109" s="531"/>
      <c r="I109" s="531"/>
      <c r="J109" s="531"/>
      <c r="K109" s="532"/>
      <c r="L109" s="533"/>
      <c r="M109" s="534"/>
      <c r="N109" s="929"/>
      <c r="O109" s="929"/>
      <c r="P109" s="1918"/>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8"/>
      <c r="Q110" s="452"/>
    </row>
    <row r="111" spans="1:17" s="421" customFormat="1" ht="15" thickTop="1">
      <c r="A111" s="541"/>
      <c r="B111" s="486" t="s">
        <v>1186</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9"/>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9"/>
      <c r="Q113" s="507"/>
    </row>
    <row r="114" spans="1:17" ht="15" thickTop="1">
      <c r="A114" s="547"/>
      <c r="B114" s="486" t="s">
        <v>1737</v>
      </c>
      <c r="C114" s="502"/>
      <c r="D114" s="502"/>
      <c r="E114" s="531"/>
      <c r="F114" s="531"/>
      <c r="G114" s="531"/>
      <c r="H114" s="531"/>
      <c r="I114" s="531"/>
      <c r="J114" s="531"/>
      <c r="K114" s="532"/>
      <c r="L114" s="533"/>
      <c r="M114" s="534"/>
      <c r="N114" s="929"/>
      <c r="O114" s="929"/>
      <c r="P114" s="1918"/>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8"/>
      <c r="Q115" s="452"/>
    </row>
    <row r="116" spans="1:17" ht="15" thickTop="1">
      <c r="A116" s="547"/>
      <c r="B116" s="486" t="s">
        <v>1738</v>
      </c>
      <c r="C116" s="502"/>
      <c r="D116" s="502"/>
      <c r="E116" s="502"/>
      <c r="F116" s="502"/>
      <c r="G116" s="502"/>
      <c r="H116" s="531"/>
      <c r="I116" s="531"/>
      <c r="J116" s="531"/>
      <c r="K116" s="532"/>
      <c r="L116" s="533"/>
      <c r="M116" s="534"/>
      <c r="N116" s="929"/>
      <c r="O116" s="929"/>
      <c r="P116" s="1918"/>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8"/>
      <c r="Q117" s="452"/>
    </row>
    <row r="118" spans="1:17" ht="15" thickTop="1">
      <c r="A118" s="547"/>
      <c r="B118" s="486" t="s">
        <v>1739</v>
      </c>
      <c r="C118" s="531"/>
      <c r="D118" s="531"/>
      <c r="E118" s="531"/>
      <c r="F118" s="531"/>
      <c r="G118" s="531"/>
      <c r="H118" s="531"/>
      <c r="I118" s="531"/>
      <c r="J118" s="531"/>
      <c r="K118" s="532"/>
      <c r="L118" s="533"/>
      <c r="M118" s="534"/>
      <c r="N118" s="929"/>
      <c r="O118" s="929"/>
      <c r="P118" s="1918"/>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8"/>
      <c r="Q119" s="452"/>
    </row>
    <row r="120" spans="1:17" s="421" customFormat="1" ht="29.4" thickTop="1">
      <c r="A120" s="541"/>
      <c r="B120" s="486" t="s">
        <v>1701</v>
      </c>
      <c r="C120" s="502"/>
      <c r="D120" s="502"/>
      <c r="E120" s="502"/>
      <c r="F120" s="502"/>
      <c r="G120" s="502"/>
      <c r="H120" s="502"/>
      <c r="I120" s="502"/>
      <c r="J120" s="502"/>
      <c r="K120" s="502"/>
      <c r="L120" s="528"/>
      <c r="M120" s="529"/>
      <c r="N120" s="931"/>
      <c r="O120" s="931"/>
      <c r="P120" s="1919"/>
      <c r="Q120" s="507"/>
    </row>
    <row r="121" spans="1:17" s="421" customFormat="1" ht="14.4" thickBot="1">
      <c r="A121" s="501"/>
      <c r="B121" s="483"/>
      <c r="C121" s="508"/>
      <c r="D121" s="484"/>
      <c r="E121" s="484"/>
      <c r="F121" s="484"/>
      <c r="G121" s="484"/>
      <c r="H121" s="484"/>
      <c r="I121" s="484"/>
      <c r="J121" s="484"/>
      <c r="K121" s="484"/>
      <c r="L121" s="484"/>
      <c r="M121" s="484"/>
      <c r="N121" s="931"/>
      <c r="O121" s="931"/>
      <c r="P121" s="1919"/>
      <c r="Q121" s="507"/>
    </row>
    <row r="122" spans="1:17" ht="15" thickTop="1">
      <c r="A122" s="547"/>
      <c r="B122" s="486" t="s">
        <v>1740</v>
      </c>
      <c r="C122" s="502"/>
      <c r="D122" s="502"/>
      <c r="E122" s="502"/>
      <c r="F122" s="531"/>
      <c r="G122" s="531"/>
      <c r="H122" s="531"/>
      <c r="I122" s="531"/>
      <c r="J122" s="531"/>
      <c r="K122" s="532"/>
      <c r="L122" s="533"/>
      <c r="M122" s="534"/>
      <c r="N122" s="929"/>
      <c r="O122" s="929"/>
      <c r="P122" s="1918"/>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8"/>
      <c r="Q123" s="452"/>
    </row>
    <row r="124" spans="1:17" ht="29.4" thickTop="1">
      <c r="A124" s="547"/>
      <c r="B124" s="486" t="s">
        <v>1741</v>
      </c>
      <c r="C124" s="526" t="s">
        <v>1717</v>
      </c>
      <c r="D124" s="526" t="s">
        <v>1718</v>
      </c>
      <c r="E124" s="526" t="s">
        <v>1719</v>
      </c>
      <c r="F124" s="526" t="s">
        <v>1720</v>
      </c>
      <c r="G124" s="526" t="s">
        <v>1721</v>
      </c>
      <c r="H124" s="487"/>
      <c r="I124" s="487"/>
      <c r="J124" s="487"/>
      <c r="K124" s="488"/>
      <c r="L124" s="489"/>
      <c r="M124" s="490"/>
      <c r="N124" s="929"/>
      <c r="O124" s="929"/>
      <c r="P124" s="1919"/>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8"/>
      <c r="Q125" s="452"/>
    </row>
    <row r="126" spans="1:17" s="421" customFormat="1" ht="14.4" thickTop="1">
      <c r="A126" s="541"/>
      <c r="B126" s="486">
        <f>B44</f>
        <v>111</v>
      </c>
      <c r="C126" s="502"/>
      <c r="D126" s="502"/>
      <c r="E126" s="502"/>
      <c r="F126" s="502"/>
      <c r="G126" s="502"/>
      <c r="H126" s="503"/>
      <c r="I126" s="503"/>
      <c r="J126" s="503"/>
      <c r="K126" s="503"/>
      <c r="L126" s="504"/>
      <c r="M126" s="505"/>
      <c r="N126" s="931"/>
      <c r="O126" s="931"/>
      <c r="P126" s="1919"/>
      <c r="Q126" s="507"/>
    </row>
    <row r="127" spans="1:17" s="421" customFormat="1" ht="14.4" thickBot="1">
      <c r="A127" s="501"/>
      <c r="B127" s="491"/>
      <c r="C127" s="508"/>
      <c r="D127" s="484"/>
      <c r="E127" s="484"/>
      <c r="F127" s="484"/>
      <c r="G127" s="508"/>
      <c r="H127" s="510"/>
      <c r="I127" s="510"/>
      <c r="J127" s="510"/>
      <c r="K127" s="510"/>
      <c r="L127" s="510"/>
      <c r="M127" s="511"/>
      <c r="N127" s="931"/>
      <c r="O127" s="931"/>
      <c r="P127" s="1919"/>
      <c r="Q127" s="507"/>
    </row>
    <row r="128" spans="1:17" ht="14.4" thickTop="1">
      <c r="A128" s="547"/>
      <c r="B128" s="486">
        <f>B45</f>
        <v>111</v>
      </c>
      <c r="C128" s="502"/>
      <c r="D128" s="502"/>
      <c r="E128" s="502"/>
      <c r="F128" s="502"/>
      <c r="G128" s="531"/>
      <c r="H128" s="531"/>
      <c r="I128" s="531"/>
      <c r="J128" s="531"/>
      <c r="K128" s="532"/>
      <c r="L128" s="533"/>
      <c r="M128" s="534"/>
      <c r="N128" s="929"/>
      <c r="O128" s="929"/>
      <c r="P128" s="1918"/>
      <c r="Q128" s="452"/>
    </row>
    <row r="129" spans="1:17" ht="14.4" thickBot="1">
      <c r="A129" s="482"/>
      <c r="B129" s="491"/>
      <c r="C129" s="508"/>
      <c r="D129" s="508"/>
      <c r="E129" s="508"/>
      <c r="F129" s="508"/>
      <c r="G129" s="484"/>
      <c r="H129" s="484"/>
      <c r="I129" s="484"/>
      <c r="J129" s="484"/>
      <c r="K129" s="484"/>
      <c r="L129" s="484"/>
      <c r="M129" s="485"/>
      <c r="N129" s="930"/>
      <c r="O129" s="930"/>
      <c r="P129" s="1918"/>
      <c r="Q129" s="452"/>
    </row>
    <row r="130" spans="1:17" ht="14.4" thickTop="1">
      <c r="A130" s="547"/>
      <c r="B130" s="494">
        <f>B46</f>
        <v>111</v>
      </c>
      <c r="C130" s="502"/>
      <c r="D130" s="502"/>
      <c r="E130" s="502"/>
      <c r="F130" s="502"/>
      <c r="G130" s="535"/>
      <c r="H130" s="535"/>
      <c r="I130" s="535"/>
      <c r="J130" s="535"/>
      <c r="K130" s="471"/>
      <c r="L130" s="472"/>
      <c r="M130" s="538"/>
      <c r="N130" s="929"/>
      <c r="O130" s="929"/>
      <c r="P130" s="1918"/>
      <c r="Q130" s="452"/>
    </row>
    <row r="131" spans="1:17" ht="14.4" thickBot="1">
      <c r="A131" s="1924"/>
      <c r="B131" s="517"/>
      <c r="C131" s="518"/>
      <c r="D131" s="518"/>
      <c r="E131" s="518"/>
      <c r="F131" s="518"/>
      <c r="G131" s="539"/>
      <c r="H131" s="539"/>
      <c r="I131" s="539"/>
      <c r="J131" s="539"/>
      <c r="K131" s="539"/>
      <c r="L131" s="539"/>
      <c r="M131" s="540"/>
      <c r="N131" s="930"/>
      <c r="O131" s="930"/>
      <c r="P131" s="1918"/>
      <c r="Q131" s="452"/>
    </row>
    <row r="136" spans="1:17" ht="15" thickBot="1">
      <c r="B136" s="1925" t="s">
        <v>1742</v>
      </c>
    </row>
    <row r="137" spans="1:17" ht="15">
      <c r="B137" s="1926" t="s">
        <v>1743</v>
      </c>
      <c r="C137" s="1927"/>
      <c r="D137" s="1927"/>
      <c r="E137" s="1927"/>
      <c r="F137" s="1927"/>
      <c r="G137" s="1928"/>
      <c r="H137" s="1929"/>
      <c r="I137" s="1930" t="s">
        <v>1744</v>
      </c>
      <c r="J137" s="1927"/>
      <c r="K137" s="1931"/>
    </row>
    <row r="138" spans="1:17" ht="15">
      <c r="B138" s="1932"/>
      <c r="C138" s="136" t="s">
        <v>1745</v>
      </c>
      <c r="D138" s="136" t="s">
        <v>1746</v>
      </c>
      <c r="E138" s="1933" t="s">
        <v>1747</v>
      </c>
      <c r="F138" s="1934" t="s">
        <v>1748</v>
      </c>
      <c r="G138" s="136" t="s">
        <v>1746</v>
      </c>
      <c r="H138" s="137" t="s">
        <v>1747</v>
      </c>
      <c r="I138" s="1935"/>
      <c r="J138" s="136" t="s">
        <v>1749</v>
      </c>
      <c r="K138" s="137" t="s">
        <v>1750</v>
      </c>
    </row>
    <row r="139" spans="1:17" ht="15">
      <c r="B139" s="863">
        <v>6</v>
      </c>
      <c r="C139" s="864">
        <v>96</v>
      </c>
      <c r="D139" s="1936" t="s">
        <v>1751</v>
      </c>
      <c r="E139" s="865">
        <v>100</v>
      </c>
      <c r="F139" s="866">
        <v>102.5</v>
      </c>
      <c r="G139" s="1936" t="s">
        <v>1751</v>
      </c>
      <c r="H139" s="867">
        <v>105</v>
      </c>
      <c r="I139" s="1937" t="s">
        <v>1752</v>
      </c>
      <c r="J139" s="864">
        <v>20</v>
      </c>
      <c r="K139" s="868">
        <f>C145/(J139-2)</f>
        <v>4.0555555555555553E-3</v>
      </c>
    </row>
    <row r="140" spans="1:17" ht="15">
      <c r="B140" s="869">
        <v>5</v>
      </c>
      <c r="C140" s="870">
        <v>100</v>
      </c>
      <c r="D140" s="870"/>
      <c r="E140" s="871"/>
      <c r="F140" s="872">
        <v>102</v>
      </c>
      <c r="G140" s="870"/>
      <c r="H140" s="873"/>
      <c r="I140" s="1938" t="s">
        <v>1753</v>
      </c>
      <c r="J140" s="270">
        <f>ROUNDUP((J139-1)/2,0)</f>
        <v>10</v>
      </c>
      <c r="K140" s="874">
        <v>100</v>
      </c>
    </row>
    <row r="141" spans="1:17" ht="15">
      <c r="B141" s="869">
        <v>4</v>
      </c>
      <c r="C141" s="870">
        <v>102</v>
      </c>
      <c r="D141" s="870"/>
      <c r="E141" s="871"/>
      <c r="F141" s="872">
        <v>101.5</v>
      </c>
      <c r="G141" s="870"/>
      <c r="H141" s="873"/>
      <c r="I141" s="1938" t="s">
        <v>1754</v>
      </c>
      <c r="J141" s="270">
        <v>1</v>
      </c>
      <c r="K141" s="875">
        <f>ROUND(100+(J141-J140)*K139*100,1)</f>
        <v>96.4</v>
      </c>
    </row>
    <row r="142" spans="1:17" ht="15">
      <c r="B142" s="869">
        <v>3</v>
      </c>
      <c r="C142" s="870">
        <v>103</v>
      </c>
      <c r="D142" s="870"/>
      <c r="E142" s="871"/>
      <c r="F142" s="872">
        <v>101</v>
      </c>
      <c r="G142" s="870"/>
      <c r="H142" s="873"/>
      <c r="I142" s="1938" t="s">
        <v>1755</v>
      </c>
      <c r="J142" s="270">
        <f>J139</f>
        <v>20</v>
      </c>
      <c r="K142" s="876">
        <v>95</v>
      </c>
    </row>
    <row r="143" spans="1:17" ht="15">
      <c r="B143" s="869">
        <v>2</v>
      </c>
      <c r="C143" s="870">
        <v>100</v>
      </c>
      <c r="D143" s="870"/>
      <c r="E143" s="871"/>
      <c r="F143" s="872">
        <v>100.5</v>
      </c>
      <c r="G143" s="870"/>
      <c r="H143" s="873"/>
      <c r="I143" s="1938" t="s">
        <v>1756</v>
      </c>
      <c r="J143" s="870">
        <v>15</v>
      </c>
      <c r="K143" s="875">
        <f>ROUND(100+(J143-J140)*K139*100,1)</f>
        <v>102</v>
      </c>
    </row>
    <row r="144" spans="1:17" ht="15">
      <c r="B144" s="869">
        <v>1</v>
      </c>
      <c r="C144" s="870">
        <v>98</v>
      </c>
      <c r="D144" s="1939" t="s">
        <v>1757</v>
      </c>
      <c r="E144" s="871">
        <v>102</v>
      </c>
      <c r="F144" s="877">
        <v>100</v>
      </c>
      <c r="G144" s="1939" t="s">
        <v>1757</v>
      </c>
      <c r="H144" s="873">
        <v>105</v>
      </c>
      <c r="I144" s="1938" t="s">
        <v>1756</v>
      </c>
      <c r="J144" s="870">
        <v>18</v>
      </c>
      <c r="K144" s="875">
        <f>ROUND(100+(J144-J140)*K139*100,1)</f>
        <v>103.2</v>
      </c>
    </row>
    <row r="145" spans="2:11" ht="16.2" thickBot="1">
      <c r="B145" s="1940" t="s">
        <v>1758</v>
      </c>
      <c r="C145" s="878">
        <f>ROUND(MAX(C139:C144)/MIN(C139:C144)-1,3)</f>
        <v>7.2999999999999995E-2</v>
      </c>
      <c r="D145" s="879"/>
      <c r="E145" s="879"/>
      <c r="F145" s="1941" t="s">
        <v>1759</v>
      </c>
      <c r="G145" s="1942"/>
      <c r="H145" s="1943"/>
      <c r="I145" s="1944" t="s">
        <v>1756</v>
      </c>
      <c r="J145" s="880">
        <v>8</v>
      </c>
      <c r="K145" s="881">
        <f>ROUND(100+(J145-J140)*K139*100,1)</f>
        <v>99.2</v>
      </c>
    </row>
    <row r="147" spans="2:11" ht="14.4">
      <c r="B147" s="1925" t="s">
        <v>1760</v>
      </c>
    </row>
    <row r="148" spans="2:11" ht="14.4">
      <c r="B148" s="1925"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2"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1656</v>
      </c>
      <c r="B1" s="1874" t="s">
        <v>1762</v>
      </c>
      <c r="C1" s="1234" t="s">
        <v>1658</v>
      </c>
      <c r="D1" s="1221"/>
      <c r="E1" s="3422"/>
      <c r="F1" s="1875"/>
      <c r="G1" s="1231" t="s">
        <v>1763</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1" customFormat="1" ht="28.5" customHeight="1" thickTop="1">
      <c r="A2" s="1217" t="s">
        <v>1458</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1" customFormat="1" ht="28.5" customHeight="1" thickBot="1">
      <c r="A3" s="202" t="s">
        <v>1460</v>
      </c>
      <c r="B3" s="557">
        <f>IF(C2="——",C49,ROUND(B2*10000/D3,0))</f>
        <v>0</v>
      </c>
      <c r="C3" s="353" t="s">
        <v>1764</v>
      </c>
      <c r="D3" s="352">
        <f>IF(D1="",'数据-汇总表'!E3,SUMIF('数据-汇总表'!$C19:$C33,D1,'数据-汇总表'!$E19:$E33))</f>
        <v>99232.329999999987</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4.4">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30" t="s">
        <v>1767</v>
      </c>
      <c r="S4" s="3831"/>
      <c r="T4" s="3830" t="s">
        <v>1768</v>
      </c>
      <c r="U4" s="3831"/>
      <c r="V4" s="3855" t="s">
        <v>1769</v>
      </c>
      <c r="W4" s="3855"/>
      <c r="X4" s="1351"/>
      <c r="Y4" s="3830" t="s">
        <v>1771</v>
      </c>
      <c r="Z4" s="3831"/>
      <c r="AA4" s="3825" t="s">
        <v>1767</v>
      </c>
      <c r="AB4" s="3855" t="s">
        <v>1768</v>
      </c>
      <c r="AC4" s="3825" t="s">
        <v>1769</v>
      </c>
    </row>
    <row r="5" spans="1:29">
      <c r="A5" s="357"/>
      <c r="B5" s="358"/>
      <c r="C5" s="3836" t="s">
        <v>1669</v>
      </c>
      <c r="D5" s="3837"/>
      <c r="E5" s="3834" t="s">
        <v>1670</v>
      </c>
      <c r="F5" s="3835"/>
      <c r="G5" s="3836" t="s">
        <v>1671</v>
      </c>
      <c r="H5" s="3837"/>
      <c r="I5" s="3836" t="s">
        <v>1672</v>
      </c>
      <c r="J5" s="3837"/>
      <c r="K5" s="558"/>
      <c r="L5" s="2711"/>
      <c r="M5" s="2712"/>
      <c r="N5" s="2712"/>
      <c r="O5" s="2712"/>
      <c r="P5" s="3849"/>
      <c r="Q5" s="3850"/>
      <c r="R5" s="3832"/>
      <c r="S5" s="3833"/>
      <c r="T5" s="3832"/>
      <c r="U5" s="3833"/>
      <c r="V5" s="3855"/>
      <c r="W5" s="3855"/>
      <c r="X5" s="1351"/>
      <c r="Y5" s="3832"/>
      <c r="Z5" s="3833"/>
      <c r="AA5" s="3826"/>
      <c r="AB5" s="3855"/>
      <c r="AC5" s="3826"/>
    </row>
    <row r="6" spans="1:29" ht="15" thickBot="1">
      <c r="A6" s="359"/>
      <c r="B6" s="360"/>
      <c r="C6" s="3838" t="s">
        <v>1673</v>
      </c>
      <c r="D6" s="3839"/>
      <c r="E6" s="3840" t="s">
        <v>1673</v>
      </c>
      <c r="F6" s="3841"/>
      <c r="G6" s="3838" t="s">
        <v>1673</v>
      </c>
      <c r="H6" s="3839"/>
      <c r="I6" s="3838" t="s">
        <v>1673</v>
      </c>
      <c r="J6" s="3839"/>
      <c r="K6" s="558" t="s">
        <v>1674</v>
      </c>
      <c r="L6" s="2711"/>
      <c r="M6" s="2712"/>
      <c r="N6" s="2712"/>
      <c r="O6" s="2712"/>
      <c r="P6" s="3851"/>
      <c r="Q6" s="3852"/>
      <c r="R6" s="3832"/>
      <c r="S6" s="3833"/>
      <c r="T6" s="3853"/>
      <c r="U6" s="3854"/>
      <c r="V6" s="3855"/>
      <c r="W6" s="3855"/>
      <c r="X6" s="1351"/>
      <c r="Y6" s="3853"/>
      <c r="Z6" s="3854"/>
      <c r="AA6" s="3827"/>
      <c r="AB6" s="3855"/>
      <c r="AC6" s="3827"/>
    </row>
    <row r="7" spans="1:29" s="108" customFormat="1" ht="1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559"/>
      <c r="L7" s="2713"/>
      <c r="M7" s="2714"/>
      <c r="N7" s="2714"/>
      <c r="O7" s="2714"/>
      <c r="P7" s="3828" t="s">
        <v>1676</v>
      </c>
      <c r="Q7" s="3856"/>
      <c r="R7" s="699" t="s">
        <v>14</v>
      </c>
      <c r="S7" s="700">
        <f t="shared" ref="S7:S15" si="0">F7</f>
        <v>0</v>
      </c>
      <c r="T7" s="699" t="s">
        <v>14</v>
      </c>
      <c r="U7" s="700">
        <f t="shared" ref="U7:U15" si="1">H7</f>
        <v>0</v>
      </c>
      <c r="V7" s="699" t="s">
        <v>14</v>
      </c>
      <c r="W7" s="700">
        <f t="shared" ref="W7:W15" si="2">J7</f>
        <v>0</v>
      </c>
      <c r="X7" s="701"/>
      <c r="Y7" s="3828" t="s">
        <v>1676</v>
      </c>
      <c r="Z7" s="3829"/>
      <c r="AA7" s="702" t="e">
        <f>D7/F7</f>
        <v>#DIV/0!</v>
      </c>
      <c r="AB7" s="702" t="e">
        <f>D7/H7</f>
        <v>#DIV/0!</v>
      </c>
      <c r="AC7" s="702" t="e">
        <f>D7/J7</f>
        <v>#DIV/0!</v>
      </c>
    </row>
    <row r="8" spans="1:29" s="108" customFormat="1" ht="15" thickBot="1">
      <c r="A8" s="361" t="s">
        <v>1677</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828" t="s">
        <v>1679</v>
      </c>
      <c r="Q8" s="3829"/>
      <c r="R8" s="699" t="s">
        <v>14</v>
      </c>
      <c r="S8" s="700">
        <f t="shared" si="0"/>
        <v>100</v>
      </c>
      <c r="T8" s="699" t="s">
        <v>14</v>
      </c>
      <c r="U8" s="700">
        <f t="shared" si="1"/>
        <v>100</v>
      </c>
      <c r="V8" s="699" t="s">
        <v>14</v>
      </c>
      <c r="W8" s="700">
        <f t="shared" si="2"/>
        <v>100</v>
      </c>
      <c r="X8" s="701"/>
      <c r="Y8" s="3828" t="s">
        <v>1679</v>
      </c>
      <c r="Z8" s="3829"/>
      <c r="AA8" s="702">
        <f t="shared" ref="AA8:AA46" si="3">D8/F8</f>
        <v>1</v>
      </c>
      <c r="AB8" s="702">
        <f t="shared" ref="AB8:AB46" si="4">D8/H8</f>
        <v>1</v>
      </c>
      <c r="AC8" s="702">
        <f t="shared" ref="AC8:AC46" si="5">D8/J8</f>
        <v>1</v>
      </c>
    </row>
    <row r="9" spans="1:29" s="108" customFormat="1" ht="14.4">
      <c r="A9" s="368" t="s">
        <v>1680</v>
      </c>
      <c r="B9" s="63" t="s">
        <v>1681</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842" t="s">
        <v>1682</v>
      </c>
      <c r="Q9" s="1339" t="str">
        <f t="shared" ref="Q9:Q15" si="6">B9</f>
        <v>用途</v>
      </c>
      <c r="R9" s="699" t="s">
        <v>14</v>
      </c>
      <c r="S9" s="700">
        <f t="shared" si="0"/>
        <v>100</v>
      </c>
      <c r="T9" s="699" t="s">
        <v>14</v>
      </c>
      <c r="U9" s="700">
        <f t="shared" si="1"/>
        <v>100</v>
      </c>
      <c r="V9" s="699" t="s">
        <v>14</v>
      </c>
      <c r="W9" s="700">
        <f t="shared" si="2"/>
        <v>100</v>
      </c>
      <c r="X9" s="701"/>
      <c r="Y9" s="3753" t="s">
        <v>1683</v>
      </c>
      <c r="Z9" s="52" t="str">
        <f t="shared" ref="Z9:Z15" si="7">Q9</f>
        <v>用途</v>
      </c>
      <c r="AA9" s="702">
        <f t="shared" si="3"/>
        <v>1</v>
      </c>
      <c r="AB9" s="702">
        <f t="shared" si="4"/>
        <v>1</v>
      </c>
      <c r="AC9" s="702">
        <f t="shared" si="5"/>
        <v>1</v>
      </c>
    </row>
    <row r="10" spans="1:29" s="377" customFormat="1" ht="28.8">
      <c r="A10" s="373"/>
      <c r="B10" s="374" t="s">
        <v>1684</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842"/>
      <c r="Q10" s="1339" t="str">
        <f t="shared" si="6"/>
        <v>土地使用年限（年）</v>
      </c>
      <c r="R10" s="699" t="s">
        <v>14</v>
      </c>
      <c r="S10" s="700">
        <f t="shared" si="0"/>
        <v>100</v>
      </c>
      <c r="T10" s="699" t="s">
        <v>14</v>
      </c>
      <c r="U10" s="700">
        <f t="shared" si="1"/>
        <v>100</v>
      </c>
      <c r="V10" s="699" t="s">
        <v>14</v>
      </c>
      <c r="W10" s="700">
        <f t="shared" si="2"/>
        <v>100</v>
      </c>
      <c r="X10" s="701"/>
      <c r="Y10" s="3753"/>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842"/>
      <c r="Q11" s="1339" t="str">
        <f t="shared" si="6"/>
        <v>容积率</v>
      </c>
      <c r="R11" s="699" t="s">
        <v>14</v>
      </c>
      <c r="S11" s="700" t="e">
        <f t="shared" si="0"/>
        <v>#N/A</v>
      </c>
      <c r="T11" s="699" t="s">
        <v>14</v>
      </c>
      <c r="U11" s="700" t="e">
        <f t="shared" si="1"/>
        <v>#N/A</v>
      </c>
      <c r="V11" s="699" t="s">
        <v>14</v>
      </c>
      <c r="W11" s="700" t="e">
        <f t="shared" si="2"/>
        <v>#N/A</v>
      </c>
      <c r="X11" s="701"/>
      <c r="Y11" s="3753"/>
      <c r="Z11" s="52" t="str">
        <f t="shared" si="7"/>
        <v>容积率</v>
      </c>
      <c r="AA11" s="702" t="e">
        <f t="shared" si="3"/>
        <v>#N/A</v>
      </c>
      <c r="AB11" s="702" t="e">
        <f t="shared" si="4"/>
        <v>#N/A</v>
      </c>
      <c r="AC11" s="702" t="e">
        <f t="shared" si="5"/>
        <v>#N/A</v>
      </c>
    </row>
    <row r="12" spans="1:29" s="108"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842"/>
      <c r="Q12" s="1339">
        <f t="shared" si="6"/>
        <v>111</v>
      </c>
      <c r="R12" s="699" t="s">
        <v>14</v>
      </c>
      <c r="S12" s="700">
        <f t="shared" si="0"/>
        <v>100</v>
      </c>
      <c r="T12" s="699" t="s">
        <v>14</v>
      </c>
      <c r="U12" s="700">
        <f t="shared" si="1"/>
        <v>100</v>
      </c>
      <c r="V12" s="699" t="s">
        <v>14</v>
      </c>
      <c r="W12" s="700">
        <f t="shared" si="2"/>
        <v>100</v>
      </c>
      <c r="X12" s="701"/>
      <c r="Y12" s="3753"/>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842"/>
      <c r="Q13" s="1339">
        <f t="shared" si="6"/>
        <v>111</v>
      </c>
      <c r="R13" s="699" t="s">
        <v>14</v>
      </c>
      <c r="S13" s="700">
        <f t="shared" si="0"/>
        <v>100</v>
      </c>
      <c r="T13" s="699" t="s">
        <v>14</v>
      </c>
      <c r="U13" s="700">
        <f t="shared" si="1"/>
        <v>100</v>
      </c>
      <c r="V13" s="699" t="s">
        <v>14</v>
      </c>
      <c r="W13" s="700">
        <f t="shared" si="2"/>
        <v>100</v>
      </c>
      <c r="X13" s="701"/>
      <c r="Y13" s="3753"/>
      <c r="Z13" s="52">
        <f t="shared" si="7"/>
        <v>111</v>
      </c>
      <c r="AA13" s="702">
        <f t="shared" si="3"/>
        <v>1</v>
      </c>
      <c r="AB13" s="702">
        <f t="shared" si="4"/>
        <v>1</v>
      </c>
      <c r="AC13" s="702">
        <f t="shared" si="5"/>
        <v>1</v>
      </c>
    </row>
    <row r="14" spans="1:29" ht="15.6"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842"/>
      <c r="Q14" s="1339">
        <f t="shared" si="6"/>
        <v>111</v>
      </c>
      <c r="R14" s="699" t="s">
        <v>14</v>
      </c>
      <c r="S14" s="700">
        <f t="shared" si="0"/>
        <v>100</v>
      </c>
      <c r="T14" s="699" t="s">
        <v>14</v>
      </c>
      <c r="U14" s="700">
        <f t="shared" si="1"/>
        <v>100</v>
      </c>
      <c r="V14" s="699" t="s">
        <v>14</v>
      </c>
      <c r="W14" s="700">
        <f t="shared" si="2"/>
        <v>100</v>
      </c>
      <c r="X14" s="701"/>
      <c r="Y14" s="3753"/>
      <c r="Z14" s="52">
        <f t="shared" si="7"/>
        <v>111</v>
      </c>
      <c r="AA14" s="702">
        <f t="shared" si="3"/>
        <v>1</v>
      </c>
      <c r="AB14" s="702">
        <f t="shared" si="4"/>
        <v>1</v>
      </c>
      <c r="AC14" s="702">
        <f t="shared" si="5"/>
        <v>1</v>
      </c>
    </row>
    <row r="15" spans="1:29" ht="69">
      <c r="A15" s="390" t="s">
        <v>1686</v>
      </c>
      <c r="B15" s="61" t="s">
        <v>1773</v>
      </c>
      <c r="C15" s="1892"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869" t="s">
        <v>1687</v>
      </c>
      <c r="Q15" s="1348" t="str">
        <f t="shared" si="6"/>
        <v>商业繁华度</v>
      </c>
      <c r="R15" s="703" t="s">
        <v>14</v>
      </c>
      <c r="S15" s="704">
        <f t="shared" si="0"/>
        <v>100</v>
      </c>
      <c r="T15" s="703" t="s">
        <v>14</v>
      </c>
      <c r="U15" s="704">
        <f t="shared" si="1"/>
        <v>100</v>
      </c>
      <c r="V15" s="703" t="s">
        <v>14</v>
      </c>
      <c r="W15" s="704">
        <f t="shared" si="2"/>
        <v>100</v>
      </c>
      <c r="X15" s="1351"/>
      <c r="Y15" s="3862" t="s">
        <v>1687</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3"/>
      <c r="L16" s="2718"/>
      <c r="M16" s="2712"/>
      <c r="N16" s="2712"/>
      <c r="O16" s="2712"/>
      <c r="P16" s="3870"/>
      <c r="Q16" s="1348"/>
      <c r="R16" s="703"/>
      <c r="S16" s="704"/>
      <c r="T16" s="703"/>
      <c r="U16" s="704"/>
      <c r="V16" s="703"/>
      <c r="W16" s="704"/>
      <c r="X16" s="1351"/>
      <c r="Y16" s="3863"/>
      <c r="Z16" s="1352"/>
      <c r="AA16" s="1349">
        <v>1</v>
      </c>
      <c r="AB16" s="1349">
        <v>1</v>
      </c>
      <c r="AC16" s="1349">
        <v>1</v>
      </c>
    </row>
    <row r="17" spans="1:29" ht="82.8">
      <c r="A17" s="378"/>
      <c r="B17" s="401" t="s">
        <v>1255</v>
      </c>
      <c r="C17" s="1896"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870"/>
      <c r="Q17" s="1348" t="str">
        <f>B17</f>
        <v>交通便捷度</v>
      </c>
      <c r="R17" s="703" t="s">
        <v>14</v>
      </c>
      <c r="S17" s="704">
        <f>F17</f>
        <v>100</v>
      </c>
      <c r="T17" s="703" t="s">
        <v>14</v>
      </c>
      <c r="U17" s="704">
        <f>H17</f>
        <v>100</v>
      </c>
      <c r="V17" s="703" t="s">
        <v>14</v>
      </c>
      <c r="W17" s="704">
        <f>J17</f>
        <v>100</v>
      </c>
      <c r="X17" s="1351"/>
      <c r="Y17" s="3863"/>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2718"/>
      <c r="M18" s="2712"/>
      <c r="N18" s="2712"/>
      <c r="O18" s="2712"/>
      <c r="P18" s="3870"/>
      <c r="Q18" s="1348"/>
      <c r="R18" s="703"/>
      <c r="S18" s="704"/>
      <c r="T18" s="703"/>
      <c r="U18" s="704"/>
      <c r="V18" s="703"/>
      <c r="W18" s="704"/>
      <c r="X18" s="1351"/>
      <c r="Y18" s="3863"/>
      <c r="Z18" s="1352"/>
      <c r="AA18" s="1349">
        <v>1</v>
      </c>
      <c r="AB18" s="1349">
        <v>1</v>
      </c>
      <c r="AC18" s="1349">
        <v>1</v>
      </c>
    </row>
    <row r="19" spans="1:29" ht="41.4">
      <c r="A19" s="378"/>
      <c r="B19" s="401" t="s">
        <v>1774</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870"/>
      <c r="Q19" s="1348" t="str">
        <f>B19</f>
        <v>公共配套设施</v>
      </c>
      <c r="R19" s="703" t="s">
        <v>14</v>
      </c>
      <c r="S19" s="704">
        <f>F19</f>
        <v>100</v>
      </c>
      <c r="T19" s="703" t="s">
        <v>14</v>
      </c>
      <c r="U19" s="704">
        <f>H19</f>
        <v>100</v>
      </c>
      <c r="V19" s="703" t="s">
        <v>14</v>
      </c>
      <c r="W19" s="704">
        <f>J19</f>
        <v>100</v>
      </c>
      <c r="X19" s="1351"/>
      <c r="Y19" s="3863"/>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2718"/>
      <c r="M20" s="2712"/>
      <c r="N20" s="2712"/>
      <c r="O20" s="2712"/>
      <c r="P20" s="3870"/>
      <c r="Q20" s="1348"/>
      <c r="R20" s="703"/>
      <c r="S20" s="704"/>
      <c r="T20" s="703"/>
      <c r="U20" s="704"/>
      <c r="V20" s="703"/>
      <c r="W20" s="704"/>
      <c r="X20" s="1351"/>
      <c r="Y20" s="3863"/>
      <c r="Z20" s="1352"/>
      <c r="AA20" s="1349">
        <v>1</v>
      </c>
      <c r="AB20" s="1349">
        <v>1</v>
      </c>
      <c r="AC20" s="1349">
        <v>1</v>
      </c>
    </row>
    <row r="21" spans="1:29" ht="27.6">
      <c r="A21" s="378"/>
      <c r="B21" s="1127" t="s">
        <v>1775</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870"/>
      <c r="Q21" s="1348" t="str">
        <f>B21</f>
        <v>基础设施水平</v>
      </c>
      <c r="R21" s="703" t="s">
        <v>14</v>
      </c>
      <c r="S21" s="704">
        <f>F21</f>
        <v>100</v>
      </c>
      <c r="T21" s="703" t="s">
        <v>14</v>
      </c>
      <c r="U21" s="704">
        <f>H21</f>
        <v>100</v>
      </c>
      <c r="V21" s="703" t="s">
        <v>14</v>
      </c>
      <c r="W21" s="704">
        <f>J21</f>
        <v>100</v>
      </c>
      <c r="X21" s="1351"/>
      <c r="Y21" s="3863"/>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8"/>
      <c r="M22" s="2712"/>
      <c r="N22" s="2712"/>
      <c r="O22" s="2712"/>
      <c r="P22" s="3870"/>
      <c r="Q22" s="1348"/>
      <c r="R22" s="703"/>
      <c r="S22" s="704"/>
      <c r="T22" s="703"/>
      <c r="U22" s="704"/>
      <c r="V22" s="703"/>
      <c r="W22" s="704"/>
      <c r="X22" s="1351"/>
      <c r="Y22" s="3863"/>
      <c r="Z22" s="1352"/>
      <c r="AA22" s="1349">
        <v>1</v>
      </c>
      <c r="AB22" s="1349">
        <v>1</v>
      </c>
      <c r="AC22" s="1349">
        <v>1</v>
      </c>
    </row>
    <row r="23" spans="1:29" ht="55.2">
      <c r="A23" s="378"/>
      <c r="B23" s="401" t="s">
        <v>1257</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870"/>
      <c r="Q23" s="1348" t="str">
        <f>B23</f>
        <v>自然及人文环境</v>
      </c>
      <c r="R23" s="703" t="s">
        <v>14</v>
      </c>
      <c r="S23" s="704">
        <f>F23</f>
        <v>100</v>
      </c>
      <c r="T23" s="703" t="s">
        <v>14</v>
      </c>
      <c r="U23" s="704">
        <f>H23</f>
        <v>100</v>
      </c>
      <c r="V23" s="703" t="s">
        <v>14</v>
      </c>
      <c r="W23" s="704">
        <f>J23</f>
        <v>100</v>
      </c>
      <c r="X23" s="1351"/>
      <c r="Y23" s="3863"/>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3"/>
      <c r="L24" s="2718"/>
      <c r="M24" s="2712"/>
      <c r="N24" s="2712"/>
      <c r="O24" s="2712"/>
      <c r="P24" s="3870"/>
      <c r="Q24" s="1348"/>
      <c r="R24" s="703"/>
      <c r="S24" s="704"/>
      <c r="T24" s="703"/>
      <c r="U24" s="704"/>
      <c r="V24" s="703"/>
      <c r="W24" s="704"/>
      <c r="X24" s="1351"/>
      <c r="Y24" s="3863"/>
      <c r="Z24" s="1352"/>
      <c r="AA24" s="1349">
        <v>1</v>
      </c>
      <c r="AB24" s="1349">
        <v>1</v>
      </c>
      <c r="AC24" s="1349">
        <v>1</v>
      </c>
    </row>
    <row r="25" spans="1:29" ht="15">
      <c r="A25" s="378"/>
      <c r="B25" s="374" t="s">
        <v>1776</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870"/>
      <c r="Q25" s="1348" t="str">
        <f t="shared" ref="Q25:Q46" si="11">B25</f>
        <v>临街状况</v>
      </c>
      <c r="R25" s="703" t="s">
        <v>14</v>
      </c>
      <c r="S25" s="704">
        <f>F25</f>
        <v>100</v>
      </c>
      <c r="T25" s="703" t="s">
        <v>14</v>
      </c>
      <c r="U25" s="704">
        <f>H25</f>
        <v>100</v>
      </c>
      <c r="V25" s="703" t="s">
        <v>14</v>
      </c>
      <c r="W25" s="704">
        <f>J25</f>
        <v>100</v>
      </c>
      <c r="X25" s="1351"/>
      <c r="Y25" s="3863"/>
      <c r="Z25" s="1352" t="str">
        <f>Q25</f>
        <v>临街状况</v>
      </c>
      <c r="AA25" s="1349">
        <f t="shared" si="3"/>
        <v>1</v>
      </c>
      <c r="AB25" s="1349">
        <f t="shared" si="4"/>
        <v>1</v>
      </c>
      <c r="AC25" s="1349">
        <f t="shared" si="5"/>
        <v>1</v>
      </c>
    </row>
    <row r="26" spans="1:29" ht="15">
      <c r="A26" s="378"/>
      <c r="B26" s="1129" t="s">
        <v>1777</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870"/>
      <c r="Q26" s="1348" t="str">
        <f t="shared" si="11"/>
        <v>平面位置/可视性</v>
      </c>
      <c r="R26" s="703" t="s">
        <v>14</v>
      </c>
      <c r="S26" s="704">
        <f>F26</f>
        <v>100</v>
      </c>
      <c r="T26" s="703" t="s">
        <v>14</v>
      </c>
      <c r="U26" s="704">
        <f>H26</f>
        <v>100</v>
      </c>
      <c r="V26" s="703" t="s">
        <v>14</v>
      </c>
      <c r="W26" s="704">
        <f>J26</f>
        <v>100</v>
      </c>
      <c r="X26" s="1351"/>
      <c r="Y26" s="3863"/>
      <c r="Z26" s="1352" t="str">
        <f>Q26</f>
        <v>平面位置/可视性</v>
      </c>
      <c r="AA26" s="1349">
        <f t="shared" si="3"/>
        <v>1</v>
      </c>
      <c r="AB26" s="1349">
        <f t="shared" si="4"/>
        <v>1</v>
      </c>
      <c r="AC26" s="1349">
        <f t="shared" si="5"/>
        <v>1</v>
      </c>
    </row>
    <row r="27" spans="1:29" s="108" customFormat="1" ht="15">
      <c r="A27" s="381"/>
      <c r="B27" s="401" t="s">
        <v>1778</v>
      </c>
      <c r="C27" s="1952"/>
      <c r="D27" s="412">
        <v>100</v>
      </c>
      <c r="E27" s="1952"/>
      <c r="F27" s="414">
        <f>SUMIF(90:90,E27,91:91)-SUMIF(90:90,C27,91:91)+100</f>
        <v>100</v>
      </c>
      <c r="G27" s="1952"/>
      <c r="H27" s="412">
        <f>SUMIF(90:90,G27,91:91)-SUMIF(90:90,C27,91:91)+100</f>
        <v>100</v>
      </c>
      <c r="I27" s="1952"/>
      <c r="J27" s="412">
        <f>SUMIF(90:90,I27,91:91)-SUMIF(90:90,C27,91:91)+100</f>
        <v>100</v>
      </c>
      <c r="K27" s="560"/>
      <c r="L27" s="2713"/>
      <c r="M27" s="2714"/>
      <c r="N27" s="2714"/>
      <c r="O27" s="2714"/>
      <c r="P27" s="3870"/>
      <c r="Q27" s="1339" t="str">
        <f t="shared" si="11"/>
        <v>人流量</v>
      </c>
      <c r="R27" s="699" t="s">
        <v>14</v>
      </c>
      <c r="S27" s="700">
        <f>F27</f>
        <v>100</v>
      </c>
      <c r="T27" s="699" t="s">
        <v>14</v>
      </c>
      <c r="U27" s="700">
        <f>H27</f>
        <v>100</v>
      </c>
      <c r="V27" s="699" t="s">
        <v>14</v>
      </c>
      <c r="W27" s="700">
        <f>J27</f>
        <v>100</v>
      </c>
      <c r="X27" s="701"/>
      <c r="Y27" s="3863"/>
      <c r="Z27" s="52" t="str">
        <f>Q27</f>
        <v>人流量</v>
      </c>
      <c r="AA27" s="1349">
        <f>D27/F27</f>
        <v>1</v>
      </c>
      <c r="AB27" s="1349">
        <f>D27/H27</f>
        <v>1</v>
      </c>
      <c r="AC27" s="1349">
        <f>D27/J27</f>
        <v>1</v>
      </c>
    </row>
    <row r="28" spans="1:29" ht="15">
      <c r="A28" s="378"/>
      <c r="B28" s="374" t="s">
        <v>1779</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870"/>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863"/>
      <c r="Z28" s="1352" t="str">
        <f t="shared" ref="Z28:Z46" si="15">Q28</f>
        <v>楼层</v>
      </c>
      <c r="AA28" s="1349">
        <f t="shared" si="3"/>
        <v>1</v>
      </c>
      <c r="AB28" s="1349">
        <f t="shared" si="4"/>
        <v>1</v>
      </c>
      <c r="AC28" s="1349">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870"/>
      <c r="Q29" s="1348">
        <f t="shared" si="11"/>
        <v>111</v>
      </c>
      <c r="R29" s="703" t="s">
        <v>14</v>
      </c>
      <c r="S29" s="704">
        <f t="shared" si="12"/>
        <v>100</v>
      </c>
      <c r="T29" s="703" t="s">
        <v>14</v>
      </c>
      <c r="U29" s="704">
        <f t="shared" si="13"/>
        <v>100</v>
      </c>
      <c r="V29" s="703" t="s">
        <v>14</v>
      </c>
      <c r="W29" s="704">
        <f t="shared" si="14"/>
        <v>100</v>
      </c>
      <c r="X29" s="1351"/>
      <c r="Y29" s="3863"/>
      <c r="Z29" s="1352">
        <f t="shared" si="15"/>
        <v>111</v>
      </c>
      <c r="AA29" s="1349">
        <f t="shared" si="3"/>
        <v>1</v>
      </c>
      <c r="AB29" s="1349">
        <f t="shared" si="4"/>
        <v>1</v>
      </c>
      <c r="AC29" s="1349">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870"/>
      <c r="Q30" s="1348">
        <f t="shared" si="11"/>
        <v>111</v>
      </c>
      <c r="R30" s="703" t="s">
        <v>14</v>
      </c>
      <c r="S30" s="704">
        <f t="shared" si="12"/>
        <v>100</v>
      </c>
      <c r="T30" s="703" t="s">
        <v>14</v>
      </c>
      <c r="U30" s="704">
        <f t="shared" si="13"/>
        <v>100</v>
      </c>
      <c r="V30" s="703" t="s">
        <v>14</v>
      </c>
      <c r="W30" s="704">
        <f t="shared" si="14"/>
        <v>100</v>
      </c>
      <c r="X30" s="1351"/>
      <c r="Y30" s="3863"/>
      <c r="Z30" s="1352">
        <f t="shared" si="15"/>
        <v>111</v>
      </c>
      <c r="AA30" s="1349">
        <f t="shared" si="3"/>
        <v>1</v>
      </c>
      <c r="AB30" s="1349">
        <f t="shared" si="4"/>
        <v>1</v>
      </c>
      <c r="AC30" s="1349">
        <f t="shared" si="5"/>
        <v>1</v>
      </c>
    </row>
    <row r="31" spans="1:29" ht="15.6"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870"/>
      <c r="Q31" s="1348">
        <f t="shared" si="11"/>
        <v>111</v>
      </c>
      <c r="R31" s="703" t="s">
        <v>14</v>
      </c>
      <c r="S31" s="704">
        <f t="shared" si="12"/>
        <v>100</v>
      </c>
      <c r="T31" s="703" t="s">
        <v>14</v>
      </c>
      <c r="U31" s="704">
        <f t="shared" si="13"/>
        <v>100</v>
      </c>
      <c r="V31" s="703" t="s">
        <v>14</v>
      </c>
      <c r="W31" s="704">
        <f t="shared" si="14"/>
        <v>100</v>
      </c>
      <c r="X31" s="1351"/>
      <c r="Y31" s="3863"/>
      <c r="Z31" s="1352">
        <f t="shared" si="15"/>
        <v>111</v>
      </c>
      <c r="AA31" s="1349">
        <f t="shared" si="3"/>
        <v>1</v>
      </c>
      <c r="AB31" s="1349">
        <f t="shared" si="4"/>
        <v>1</v>
      </c>
      <c r="AC31" s="1349">
        <f t="shared" si="5"/>
        <v>1</v>
      </c>
    </row>
    <row r="32" spans="1:29" ht="15">
      <c r="A32" s="390" t="s">
        <v>1690</v>
      </c>
      <c r="B32" s="63" t="s">
        <v>1780</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60"/>
      <c r="L32" s="2718"/>
      <c r="M32" s="2712"/>
      <c r="N32" s="2712"/>
      <c r="O32" s="2712"/>
      <c r="P32" s="3864" t="s">
        <v>1692</v>
      </c>
      <c r="Q32" s="1348" t="str">
        <f t="shared" si="11"/>
        <v>商业类型</v>
      </c>
      <c r="R32" s="703" t="s">
        <v>14</v>
      </c>
      <c r="S32" s="704">
        <f t="shared" si="12"/>
        <v>100</v>
      </c>
      <c r="T32" s="703" t="s">
        <v>14</v>
      </c>
      <c r="U32" s="704">
        <f t="shared" si="13"/>
        <v>100</v>
      </c>
      <c r="V32" s="703" t="s">
        <v>14</v>
      </c>
      <c r="W32" s="704">
        <f t="shared" si="14"/>
        <v>100</v>
      </c>
      <c r="X32" s="1351"/>
      <c r="Y32" s="3867" t="s">
        <v>1692</v>
      </c>
      <c r="Z32" s="1352" t="str">
        <f t="shared" si="15"/>
        <v>商业类型</v>
      </c>
      <c r="AA32" s="1349">
        <f t="shared" si="3"/>
        <v>1</v>
      </c>
      <c r="AB32" s="1349">
        <f t="shared" si="4"/>
        <v>1</v>
      </c>
      <c r="AC32" s="1349">
        <f t="shared" si="5"/>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865"/>
      <c r="Q33" s="705" t="str">
        <f t="shared" si="11"/>
        <v>项目建筑规模</v>
      </c>
      <c r="R33" s="706" t="s">
        <v>14</v>
      </c>
      <c r="S33" s="707" t="e">
        <f t="shared" si="12"/>
        <v>#N/A</v>
      </c>
      <c r="T33" s="706" t="s">
        <v>14</v>
      </c>
      <c r="U33" s="707" t="e">
        <f t="shared" si="13"/>
        <v>#N/A</v>
      </c>
      <c r="V33" s="706" t="s">
        <v>14</v>
      </c>
      <c r="W33" s="707" t="e">
        <f t="shared" si="14"/>
        <v>#N/A</v>
      </c>
      <c r="X33" s="708"/>
      <c r="Y33" s="3867"/>
      <c r="Z33" s="709" t="str">
        <f t="shared" si="15"/>
        <v>项目建筑规模</v>
      </c>
      <c r="AA33" s="1349" t="e">
        <f t="shared" si="3"/>
        <v>#N/A</v>
      </c>
      <c r="AB33" s="1349" t="e">
        <f t="shared" si="4"/>
        <v>#N/A</v>
      </c>
      <c r="AC33" s="1349" t="e">
        <f t="shared" si="5"/>
        <v>#N/A</v>
      </c>
    </row>
    <row r="34" spans="1:29" ht="15">
      <c r="A34" s="422"/>
      <c r="B34" s="374" t="s">
        <v>1694</v>
      </c>
      <c r="C34" s="1908"/>
      <c r="D34" s="385">
        <v>100</v>
      </c>
      <c r="E34" s="1908"/>
      <c r="F34" s="411">
        <f>SUMIF(105:105,E34,106:106)-SUMIF(105:105,C34,106:106)+100</f>
        <v>100</v>
      </c>
      <c r="G34" s="1908"/>
      <c r="H34" s="385">
        <f>SUMIF(105:105,G34,106:106)-SUMIF(105:105,C34,106:106)+100</f>
        <v>100</v>
      </c>
      <c r="I34" s="1908"/>
      <c r="J34" s="385">
        <f>SUMIF(105:105,I34,106:106)-SUMIF(105:105,C34,106:106)+100</f>
        <v>100</v>
      </c>
      <c r="K34" s="560"/>
      <c r="L34" s="2718"/>
      <c r="M34" s="2712"/>
      <c r="N34" s="2712"/>
      <c r="O34" s="2712"/>
      <c r="P34" s="3865"/>
      <c r="Q34" s="1348" t="str">
        <f t="shared" si="11"/>
        <v>建筑结构</v>
      </c>
      <c r="R34" s="703" t="s">
        <v>14</v>
      </c>
      <c r="S34" s="704">
        <f t="shared" si="12"/>
        <v>100</v>
      </c>
      <c r="T34" s="703" t="s">
        <v>14</v>
      </c>
      <c r="U34" s="704">
        <f t="shared" si="13"/>
        <v>100</v>
      </c>
      <c r="V34" s="703" t="s">
        <v>14</v>
      </c>
      <c r="W34" s="704">
        <f t="shared" si="14"/>
        <v>100</v>
      </c>
      <c r="X34" s="1351"/>
      <c r="Y34" s="3867"/>
      <c r="Z34" s="1352" t="str">
        <f t="shared" si="15"/>
        <v>建筑结构</v>
      </c>
      <c r="AA34" s="1349">
        <f t="shared" si="3"/>
        <v>1</v>
      </c>
      <c r="AB34" s="1349">
        <f t="shared" si="4"/>
        <v>1</v>
      </c>
      <c r="AC34" s="1349">
        <f t="shared" si="5"/>
        <v>1</v>
      </c>
    </row>
    <row r="35" spans="1:29" ht="15">
      <c r="A35" s="422"/>
      <c r="B35" s="374" t="s">
        <v>1781</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8"/>
      <c r="M35" s="2712"/>
      <c r="N35" s="2712"/>
      <c r="O35" s="2712"/>
      <c r="P35" s="3865"/>
      <c r="Q35" s="1348" t="str">
        <f t="shared" si="11"/>
        <v>公共部分装修</v>
      </c>
      <c r="R35" s="703" t="s">
        <v>14</v>
      </c>
      <c r="S35" s="704">
        <f t="shared" si="12"/>
        <v>100</v>
      </c>
      <c r="T35" s="703" t="s">
        <v>14</v>
      </c>
      <c r="U35" s="704">
        <f t="shared" si="13"/>
        <v>100</v>
      </c>
      <c r="V35" s="703" t="s">
        <v>14</v>
      </c>
      <c r="W35" s="704">
        <f t="shared" si="14"/>
        <v>100</v>
      </c>
      <c r="X35" s="1351"/>
      <c r="Y35" s="3867"/>
      <c r="Z35" s="1352" t="str">
        <f t="shared" si="15"/>
        <v>公共部分装修</v>
      </c>
      <c r="AA35" s="1349">
        <f t="shared" si="3"/>
        <v>1</v>
      </c>
      <c r="AB35" s="1349">
        <f t="shared" si="4"/>
        <v>1</v>
      </c>
      <c r="AC35" s="1349">
        <f t="shared" si="5"/>
        <v>1</v>
      </c>
    </row>
    <row r="36" spans="1:29" ht="15">
      <c r="A36" s="422"/>
      <c r="B36" s="374" t="s">
        <v>1782</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865"/>
      <c r="Q36" s="1348" t="str">
        <f t="shared" si="11"/>
        <v>成新度</v>
      </c>
      <c r="R36" s="703" t="s">
        <v>14</v>
      </c>
      <c r="S36" s="704" t="e">
        <f t="shared" si="12"/>
        <v>#N/A</v>
      </c>
      <c r="T36" s="703" t="s">
        <v>14</v>
      </c>
      <c r="U36" s="704" t="e">
        <f t="shared" si="13"/>
        <v>#N/A</v>
      </c>
      <c r="V36" s="703" t="s">
        <v>14</v>
      </c>
      <c r="W36" s="704" t="e">
        <f t="shared" si="14"/>
        <v>#N/A</v>
      </c>
      <c r="X36" s="1351"/>
      <c r="Y36" s="3867"/>
      <c r="Z36" s="1352" t="str">
        <f t="shared" si="15"/>
        <v>成新度</v>
      </c>
      <c r="AA36" s="1349" t="e">
        <f t="shared" si="3"/>
        <v>#N/A</v>
      </c>
      <c r="AB36" s="1349" t="e">
        <f t="shared" si="4"/>
        <v>#N/A</v>
      </c>
      <c r="AC36" s="1349" t="e">
        <f t="shared" si="5"/>
        <v>#N/A</v>
      </c>
    </row>
    <row r="37" spans="1:29" s="108" customFormat="1" ht="15">
      <c r="A37" s="423"/>
      <c r="B37" s="374" t="s">
        <v>1783</v>
      </c>
      <c r="C37" s="1902"/>
      <c r="D37" s="126">
        <v>100</v>
      </c>
      <c r="E37" s="1902"/>
      <c r="F37" s="411">
        <f>SUMIF(112:112,E37,113:113)-SUMIF(112:112,C37,113:113)+100</f>
        <v>100</v>
      </c>
      <c r="G37" s="1902"/>
      <c r="H37" s="385">
        <f>SUMIF(112:112,G37,113:113)-SUMIF(112:112,C37,113:113)+100</f>
        <v>100</v>
      </c>
      <c r="I37" s="1902"/>
      <c r="J37" s="385">
        <f>SUMIF(112:112,I37,113:113)-SUMIF(112:112,C37,113:113)+100</f>
        <v>100</v>
      </c>
      <c r="K37" s="560"/>
      <c r="L37" s="2713"/>
      <c r="M37" s="2714"/>
      <c r="N37" s="2714"/>
      <c r="O37" s="2714"/>
      <c r="P37" s="3865"/>
      <c r="Q37" s="1339" t="str">
        <f t="shared" si="11"/>
        <v>市政基础设施</v>
      </c>
      <c r="R37" s="699" t="s">
        <v>14</v>
      </c>
      <c r="S37" s="700">
        <f t="shared" si="12"/>
        <v>100</v>
      </c>
      <c r="T37" s="699" t="s">
        <v>14</v>
      </c>
      <c r="U37" s="700">
        <f t="shared" si="13"/>
        <v>100</v>
      </c>
      <c r="V37" s="699" t="s">
        <v>14</v>
      </c>
      <c r="W37" s="700">
        <f t="shared" si="14"/>
        <v>100</v>
      </c>
      <c r="X37" s="701"/>
      <c r="Y37" s="3867"/>
      <c r="Z37" s="52" t="str">
        <f t="shared" si="15"/>
        <v>市政基础设施</v>
      </c>
      <c r="AA37" s="702">
        <f t="shared" si="3"/>
        <v>1</v>
      </c>
      <c r="AB37" s="702">
        <f t="shared" si="4"/>
        <v>1</v>
      </c>
      <c r="AC37" s="702">
        <f t="shared" si="5"/>
        <v>1</v>
      </c>
    </row>
    <row r="38" spans="1:29" ht="15">
      <c r="A38" s="422"/>
      <c r="B38" s="374" t="s">
        <v>1784</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8"/>
      <c r="M38" s="2712"/>
      <c r="N38" s="2712"/>
      <c r="O38" s="2712"/>
      <c r="P38" s="3865" t="s">
        <v>1692</v>
      </c>
      <c r="Q38" s="1348" t="str">
        <f t="shared" si="11"/>
        <v>业态</v>
      </c>
      <c r="R38" s="703" t="s">
        <v>14</v>
      </c>
      <c r="S38" s="704">
        <f t="shared" si="12"/>
        <v>100</v>
      </c>
      <c r="T38" s="703" t="s">
        <v>14</v>
      </c>
      <c r="U38" s="704">
        <f t="shared" si="13"/>
        <v>100</v>
      </c>
      <c r="V38" s="703" t="s">
        <v>14</v>
      </c>
      <c r="W38" s="704">
        <f t="shared" si="14"/>
        <v>100</v>
      </c>
      <c r="X38" s="1351"/>
      <c r="Y38" s="3867" t="s">
        <v>1692</v>
      </c>
      <c r="Z38" s="1352" t="str">
        <f t="shared" si="15"/>
        <v>业态</v>
      </c>
      <c r="AA38" s="1349">
        <f t="shared" si="3"/>
        <v>1</v>
      </c>
      <c r="AB38" s="1349">
        <f t="shared" si="4"/>
        <v>1</v>
      </c>
      <c r="AC38" s="1349">
        <f t="shared" si="5"/>
        <v>1</v>
      </c>
    </row>
    <row r="39" spans="1:29" ht="15">
      <c r="A39" s="422"/>
      <c r="B39" s="374" t="s">
        <v>1785</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8"/>
      <c r="M39" s="2712"/>
      <c r="N39" s="2712"/>
      <c r="O39" s="2712"/>
      <c r="P39" s="3865"/>
      <c r="Q39" s="1348" t="str">
        <f t="shared" si="11"/>
        <v>层高</v>
      </c>
      <c r="R39" s="703" t="s">
        <v>14</v>
      </c>
      <c r="S39" s="704">
        <f t="shared" si="12"/>
        <v>100</v>
      </c>
      <c r="T39" s="703" t="s">
        <v>14</v>
      </c>
      <c r="U39" s="704">
        <f t="shared" si="13"/>
        <v>100</v>
      </c>
      <c r="V39" s="703" t="s">
        <v>14</v>
      </c>
      <c r="W39" s="704">
        <f t="shared" si="14"/>
        <v>100</v>
      </c>
      <c r="X39" s="1351"/>
      <c r="Y39" s="3867"/>
      <c r="Z39" s="1352" t="str">
        <f t="shared" si="15"/>
        <v>层高</v>
      </c>
      <c r="AA39" s="1349">
        <f t="shared" si="3"/>
        <v>1</v>
      </c>
      <c r="AB39" s="1349">
        <f t="shared" si="4"/>
        <v>1</v>
      </c>
      <c r="AC39" s="1349">
        <f t="shared" si="5"/>
        <v>1</v>
      </c>
    </row>
    <row r="40" spans="1:29" ht="15">
      <c r="A40" s="422"/>
      <c r="B40" s="374" t="s">
        <v>1786</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865"/>
      <c r="Q40" s="1348" t="str">
        <f t="shared" si="11"/>
        <v>单套建筑面积</v>
      </c>
      <c r="R40" s="703" t="s">
        <v>14</v>
      </c>
      <c r="S40" s="704">
        <f t="shared" si="12"/>
        <v>100</v>
      </c>
      <c r="T40" s="703" t="s">
        <v>14</v>
      </c>
      <c r="U40" s="704">
        <f t="shared" si="13"/>
        <v>100</v>
      </c>
      <c r="V40" s="703" t="s">
        <v>14</v>
      </c>
      <c r="W40" s="704">
        <f t="shared" si="14"/>
        <v>100</v>
      </c>
      <c r="X40" s="1351"/>
      <c r="Y40" s="3867"/>
      <c r="Z40" s="1352" t="str">
        <f t="shared" si="15"/>
        <v>单套建筑面积</v>
      </c>
      <c r="AA40" s="1349">
        <f t="shared" si="3"/>
        <v>1</v>
      </c>
      <c r="AB40" s="1349">
        <f t="shared" si="4"/>
        <v>1</v>
      </c>
      <c r="AC40" s="1349">
        <f t="shared" si="5"/>
        <v>1</v>
      </c>
    </row>
    <row r="41" spans="1:29" s="421" customFormat="1" ht="15">
      <c r="A41" s="418"/>
      <c r="B41" s="1350" t="s">
        <v>1787</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865"/>
      <c r="Q41" s="705" t="str">
        <f t="shared" si="11"/>
        <v>进深比</v>
      </c>
      <c r="R41" s="706" t="s">
        <v>14</v>
      </c>
      <c r="S41" s="707">
        <f t="shared" si="12"/>
        <v>100</v>
      </c>
      <c r="T41" s="706" t="s">
        <v>14</v>
      </c>
      <c r="U41" s="707">
        <f t="shared" si="13"/>
        <v>100</v>
      </c>
      <c r="V41" s="706" t="s">
        <v>14</v>
      </c>
      <c r="W41" s="707">
        <f t="shared" si="14"/>
        <v>100</v>
      </c>
      <c r="X41" s="708"/>
      <c r="Y41" s="3867"/>
      <c r="Z41" s="709" t="str">
        <f t="shared" si="15"/>
        <v>进深比</v>
      </c>
      <c r="AA41" s="1349">
        <f t="shared" si="3"/>
        <v>1</v>
      </c>
      <c r="AB41" s="1349">
        <f t="shared" si="4"/>
        <v>1</v>
      </c>
      <c r="AC41" s="1349">
        <f t="shared" si="5"/>
        <v>1</v>
      </c>
    </row>
    <row r="42" spans="1:29" ht="15">
      <c r="A42" s="422"/>
      <c r="B42" s="374" t="s">
        <v>1788</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60"/>
      <c r="L42" s="2718"/>
      <c r="M42" s="2712"/>
      <c r="N42" s="2712"/>
      <c r="O42" s="2712"/>
      <c r="P42" s="3865"/>
      <c r="Q42" s="1348" t="str">
        <f t="shared" si="11"/>
        <v>内部装修</v>
      </c>
      <c r="R42" s="703" t="s">
        <v>14</v>
      </c>
      <c r="S42" s="704">
        <f t="shared" si="12"/>
        <v>100</v>
      </c>
      <c r="T42" s="703" t="s">
        <v>14</v>
      </c>
      <c r="U42" s="704">
        <f t="shared" si="13"/>
        <v>100</v>
      </c>
      <c r="V42" s="703" t="s">
        <v>14</v>
      </c>
      <c r="W42" s="704">
        <f t="shared" si="14"/>
        <v>100</v>
      </c>
      <c r="X42" s="1351"/>
      <c r="Y42" s="3867"/>
      <c r="Z42" s="1352" t="str">
        <f t="shared" si="15"/>
        <v>内部装修</v>
      </c>
      <c r="AA42" s="1349">
        <f t="shared" si="3"/>
        <v>1</v>
      </c>
      <c r="AB42" s="1349">
        <f t="shared" si="4"/>
        <v>1</v>
      </c>
      <c r="AC42" s="1349">
        <f t="shared" si="5"/>
        <v>1</v>
      </c>
    </row>
    <row r="43" spans="1:29" ht="28.8">
      <c r="A43" s="422"/>
      <c r="B43" s="374" t="s">
        <v>1703</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8"/>
      <c r="M43" s="2712"/>
      <c r="N43" s="2712"/>
      <c r="O43" s="2712"/>
      <c r="P43" s="3865"/>
      <c r="Q43" s="1348" t="str">
        <f t="shared" si="11"/>
        <v>内部装修维护情况</v>
      </c>
      <c r="R43" s="703" t="s">
        <v>14</v>
      </c>
      <c r="S43" s="704">
        <f t="shared" si="12"/>
        <v>100</v>
      </c>
      <c r="T43" s="703" t="s">
        <v>14</v>
      </c>
      <c r="U43" s="704">
        <f t="shared" si="13"/>
        <v>100</v>
      </c>
      <c r="V43" s="703" t="s">
        <v>14</v>
      </c>
      <c r="W43" s="704">
        <f t="shared" si="14"/>
        <v>100</v>
      </c>
      <c r="X43" s="1351"/>
      <c r="Y43" s="3867"/>
      <c r="Z43" s="1352" t="str">
        <f t="shared" si="15"/>
        <v>内部装修维护情况</v>
      </c>
      <c r="AA43" s="1349">
        <f t="shared" si="3"/>
        <v>1</v>
      </c>
      <c r="AB43" s="1349">
        <f t="shared" si="4"/>
        <v>1</v>
      </c>
      <c r="AC43" s="1349">
        <f t="shared" si="5"/>
        <v>1</v>
      </c>
    </row>
    <row r="44" spans="1:29" s="108"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865"/>
      <c r="Q44" s="1339">
        <f t="shared" si="11"/>
        <v>111</v>
      </c>
      <c r="R44" s="699" t="s">
        <v>14</v>
      </c>
      <c r="S44" s="700">
        <f t="shared" si="12"/>
        <v>100</v>
      </c>
      <c r="T44" s="699" t="s">
        <v>14</v>
      </c>
      <c r="U44" s="700">
        <f t="shared" si="13"/>
        <v>100</v>
      </c>
      <c r="V44" s="699" t="s">
        <v>14</v>
      </c>
      <c r="W44" s="700">
        <f t="shared" si="14"/>
        <v>100</v>
      </c>
      <c r="X44" s="701"/>
      <c r="Y44" s="3867"/>
      <c r="Z44" s="52">
        <f t="shared" si="15"/>
        <v>111</v>
      </c>
      <c r="AA44" s="702">
        <f t="shared" si="3"/>
        <v>1</v>
      </c>
      <c r="AB44" s="702">
        <f t="shared" si="4"/>
        <v>1</v>
      </c>
      <c r="AC44" s="702">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865"/>
      <c r="Q45" s="1348">
        <f t="shared" si="11"/>
        <v>111</v>
      </c>
      <c r="R45" s="703" t="s">
        <v>14</v>
      </c>
      <c r="S45" s="704">
        <f t="shared" si="12"/>
        <v>100</v>
      </c>
      <c r="T45" s="703" t="s">
        <v>14</v>
      </c>
      <c r="U45" s="704">
        <f t="shared" si="13"/>
        <v>100</v>
      </c>
      <c r="V45" s="703" t="s">
        <v>14</v>
      </c>
      <c r="W45" s="704">
        <f t="shared" si="14"/>
        <v>100</v>
      </c>
      <c r="X45" s="1351"/>
      <c r="Y45" s="3867"/>
      <c r="Z45" s="1352">
        <f t="shared" si="15"/>
        <v>111</v>
      </c>
      <c r="AA45" s="1349">
        <f t="shared" si="3"/>
        <v>1</v>
      </c>
      <c r="AB45" s="1349">
        <f t="shared" si="4"/>
        <v>1</v>
      </c>
      <c r="AC45" s="1349">
        <f t="shared" si="5"/>
        <v>1</v>
      </c>
    </row>
    <row r="46" spans="1:29" ht="15.6"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866"/>
      <c r="Q46" s="1348">
        <f t="shared" si="11"/>
        <v>111</v>
      </c>
      <c r="R46" s="703" t="s">
        <v>14</v>
      </c>
      <c r="S46" s="704">
        <f t="shared" si="12"/>
        <v>100</v>
      </c>
      <c r="T46" s="703" t="s">
        <v>14</v>
      </c>
      <c r="U46" s="704">
        <f t="shared" si="13"/>
        <v>100</v>
      </c>
      <c r="V46" s="703" t="s">
        <v>14</v>
      </c>
      <c r="W46" s="704">
        <f t="shared" si="14"/>
        <v>100</v>
      </c>
      <c r="X46" s="1351"/>
      <c r="Y46" s="3868"/>
      <c r="Z46" s="1352">
        <f t="shared" si="15"/>
        <v>111</v>
      </c>
      <c r="AA46" s="1349">
        <f t="shared" si="3"/>
        <v>1</v>
      </c>
      <c r="AB46" s="1349">
        <f t="shared" si="4"/>
        <v>1</v>
      </c>
      <c r="AC46" s="1349">
        <f t="shared" si="5"/>
        <v>1</v>
      </c>
    </row>
    <row r="47" spans="1:29" ht="14.4">
      <c r="A47" s="429" t="s">
        <v>1704</v>
      </c>
      <c r="B47" s="430"/>
      <c r="C47" s="1150" t="s">
        <v>0</v>
      </c>
      <c r="D47" s="1151"/>
      <c r="E47" s="1152"/>
      <c r="F47" s="1153"/>
      <c r="G47" s="1154"/>
      <c r="H47" s="1155"/>
      <c r="I47" s="1152"/>
      <c r="J47" s="1155"/>
      <c r="K47" s="712"/>
      <c r="L47" s="2720"/>
      <c r="M47" s="2721"/>
      <c r="N47" s="2712"/>
      <c r="O47" s="2721"/>
      <c r="P47" s="3860" t="str">
        <f>A47</f>
        <v>成交单价（元/平方米）</v>
      </c>
      <c r="Q47" s="3860"/>
      <c r="R47" s="3855">
        <f>E47</f>
        <v>0</v>
      </c>
      <c r="S47" s="3855"/>
      <c r="T47" s="3855">
        <f>G47</f>
        <v>0</v>
      </c>
      <c r="U47" s="3855"/>
      <c r="V47" s="3855">
        <f>I47</f>
        <v>0</v>
      </c>
      <c r="W47" s="3855"/>
      <c r="X47" s="688"/>
      <c r="Y47" s="710"/>
      <c r="Z47" s="688"/>
      <c r="AA47" s="688"/>
      <c r="AB47" s="688"/>
      <c r="AC47" s="688"/>
    </row>
    <row r="48" spans="1:29" ht="15" thickBot="1">
      <c r="A48" s="436" t="s">
        <v>1789</v>
      </c>
      <c r="B48" s="437"/>
      <c r="C48" s="1156" t="e">
        <f>R49</f>
        <v>#DIV/0!</v>
      </c>
      <c r="D48" s="2313" t="s">
        <v>2134</v>
      </c>
      <c r="E48" s="1157" t="e">
        <f>R48</f>
        <v>#DIV/0!</v>
      </c>
      <c r="F48" s="2314"/>
      <c r="G48" s="1156" t="e">
        <f>T48</f>
        <v>#DIV/0!</v>
      </c>
      <c r="H48" s="2314"/>
      <c r="I48" s="1157" t="e">
        <f>V48</f>
        <v>#DIV/0!</v>
      </c>
      <c r="J48" s="2314"/>
      <c r="K48" s="2316">
        <f>F48+H48+J48</f>
        <v>0</v>
      </c>
      <c r="L48" s="2720"/>
      <c r="M48" s="2721"/>
      <c r="N48" s="2712"/>
      <c r="O48" s="2721"/>
      <c r="P48" s="3860" t="str">
        <f>A48</f>
        <v>比较价值（元/平方米）</v>
      </c>
      <c r="Q48" s="3860"/>
      <c r="R48" s="3861" t="e">
        <f>IF(F1="售价",ROUND(PRODUCT(R47,AA7:AA46),0),ROUND(PRODUCT(R47,AA7:AA46),1))</f>
        <v>#DIV/0!</v>
      </c>
      <c r="S48" s="3861"/>
      <c r="T48" s="3861" t="e">
        <f>IF(F1="售价",ROUND(PRODUCT(T47,AB7:AB46),0),ROUND(PRODUCT(T47,AB7:AB46),1))</f>
        <v>#DIV/0!</v>
      </c>
      <c r="U48" s="3861"/>
      <c r="V48" s="3861" t="e">
        <f>IF(F1="售价",ROUND(PRODUCT(V47,AC7:AC46),0),ROUND(PRODUCT(V47,AC7:AC46),1))</f>
        <v>#DIV/0!</v>
      </c>
      <c r="W48" s="3861"/>
      <c r="X48" s="688"/>
      <c r="Y48" s="688"/>
      <c r="Z48" s="688"/>
      <c r="AA48" s="688"/>
      <c r="AB48" s="688"/>
      <c r="AC48" s="688"/>
    </row>
    <row r="49" spans="1:29" ht="15" thickBot="1">
      <c r="A49" s="440" t="s">
        <v>1790</v>
      </c>
      <c r="B49" s="441"/>
      <c r="C49" s="1159" t="e">
        <f>R49</f>
        <v>#DIV/0!</v>
      </c>
      <c r="D49" s="1159"/>
      <c r="E49" s="1159"/>
      <c r="F49" s="1159"/>
      <c r="G49" s="1159"/>
      <c r="H49" s="1159"/>
      <c r="I49" s="1159"/>
      <c r="J49" s="1159"/>
      <c r="K49" s="713"/>
      <c r="L49" s="2720"/>
      <c r="M49" s="2721"/>
      <c r="N49" s="2712"/>
      <c r="O49" s="2721"/>
      <c r="P49" s="3857" t="str">
        <f>A49</f>
        <v>估价对象XX用房的比较价值（楼面单价，元/平方米）</v>
      </c>
      <c r="Q49" s="3858"/>
      <c r="R49" s="3859" t="e">
        <f>IF(F1="售价",ROUND(IF(D48="简单平均",AVERAGE(R48:V48),R48*F48+T48*H48+V48*J48),0),ROUND(IF(D48="简单平均",AVERAGE(R48:V48),R48*F48+T48*H48+V48*J48),1))</f>
        <v>#DIV/0!</v>
      </c>
      <c r="S49" s="3859"/>
      <c r="T49" s="3859"/>
      <c r="U49" s="3859"/>
      <c r="V49" s="3859"/>
      <c r="W49" s="3859"/>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2" t="s">
        <v>1794</v>
      </c>
      <c r="B57" s="688"/>
      <c r="C57" s="693"/>
      <c r="D57" s="693"/>
      <c r="E57" s="693"/>
      <c r="F57" s="694"/>
      <c r="G57" s="694"/>
      <c r="H57" s="693"/>
      <c r="I57" s="693"/>
      <c r="J57" s="693"/>
      <c r="K57" s="695"/>
      <c r="L57" s="938"/>
      <c r="M57" s="936"/>
      <c r="N57" s="936"/>
      <c r="O57" s="936"/>
      <c r="P57" s="2734"/>
      <c r="Q57" s="2735"/>
      <c r="R57" s="2721"/>
      <c r="S57" s="2721"/>
      <c r="T57" s="2721"/>
      <c r="U57" s="2721"/>
      <c r="V57" s="2721"/>
      <c r="W57" s="2721"/>
      <c r="X57" s="2721"/>
      <c r="Y57" s="2721"/>
      <c r="Z57" s="2721"/>
      <c r="AA57" s="2721"/>
      <c r="AB57" s="2721"/>
      <c r="AC57" s="2721"/>
    </row>
    <row r="58" spans="1:29" s="456" customFormat="1" ht="14.4">
      <c r="A58" s="453" t="s">
        <v>1675</v>
      </c>
      <c r="B58" s="454"/>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36"/>
      <c r="Q58" s="2737"/>
      <c r="R58" s="2737"/>
      <c r="S58" s="2737"/>
      <c r="T58" s="2737"/>
      <c r="U58" s="2737"/>
      <c r="V58" s="2737"/>
      <c r="W58" s="2737"/>
      <c r="X58" s="2737"/>
      <c r="Y58" s="2737"/>
      <c r="Z58" s="2737"/>
      <c r="AA58" s="2737"/>
      <c r="AB58" s="2737"/>
      <c r="AC58" s="2737"/>
    </row>
    <row r="59" spans="1:29" s="108" customFormat="1">
      <c r="A59" s="457"/>
      <c r="B59" s="458"/>
      <c r="C59" s="1179">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 thickBot="1">
      <c r="A60" s="463" t="s">
        <v>1712</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4.4">
      <c r="A61" s="469" t="s">
        <v>1677</v>
      </c>
      <c r="B61" s="458"/>
      <c r="C61" s="470" t="s">
        <v>1772</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4.4"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ht="14.4">
      <c r="A63" s="475" t="s">
        <v>1715</v>
      </c>
      <c r="B63" s="476" t="s">
        <v>1681</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4.4"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9.4" thickTop="1">
      <c r="A65" s="482"/>
      <c r="B65" s="486" t="s">
        <v>1684</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4.4"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 thickTop="1">
      <c r="A67" s="482"/>
      <c r="B67" s="494" t="s">
        <v>1685</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4.4"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4.4"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4.4"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4.4"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4.4"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4.4"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ht="14.4">
      <c r="A76" s="475" t="s">
        <v>1686</v>
      </c>
      <c r="B76" s="476" t="s">
        <v>1716</v>
      </c>
      <c r="C76" s="521" t="s">
        <v>1717</v>
      </c>
      <c r="D76" s="521" t="s">
        <v>1718</v>
      </c>
      <c r="E76" s="521" t="s">
        <v>1719</v>
      </c>
      <c r="F76" s="521" t="s">
        <v>1720</v>
      </c>
      <c r="G76" s="521" t="s">
        <v>1721</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 thickTop="1">
      <c r="A78" s="482"/>
      <c r="B78" s="486" t="s">
        <v>1722</v>
      </c>
      <c r="C78" s="526" t="s">
        <v>1717</v>
      </c>
      <c r="D78" s="526" t="s">
        <v>1718</v>
      </c>
      <c r="E78" s="526" t="s">
        <v>1719</v>
      </c>
      <c r="F78" s="526" t="s">
        <v>1720</v>
      </c>
      <c r="G78" s="526" t="s">
        <v>1721</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 thickTop="1">
      <c r="A80" s="482"/>
      <c r="B80" s="486" t="s">
        <v>1723</v>
      </c>
      <c r="C80" s="526" t="s">
        <v>1717</v>
      </c>
      <c r="D80" s="526" t="s">
        <v>1718</v>
      </c>
      <c r="E80" s="526" t="s">
        <v>1719</v>
      </c>
      <c r="F80" s="526" t="s">
        <v>1720</v>
      </c>
      <c r="G80" s="526" t="s">
        <v>1721</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 thickTop="1">
      <c r="A82" s="482"/>
      <c r="B82" s="494" t="s">
        <v>1775</v>
      </c>
      <c r="C82" s="607" t="s">
        <v>1795</v>
      </c>
      <c r="D82" s="607" t="s">
        <v>1796</v>
      </c>
      <c r="E82" s="607" t="s">
        <v>1797</v>
      </c>
      <c r="F82" s="607" t="s">
        <v>1798</v>
      </c>
      <c r="G82" s="607" t="s">
        <v>1799</v>
      </c>
      <c r="H82" s="487"/>
      <c r="I82" s="487"/>
      <c r="J82" s="487"/>
      <c r="K82" s="487"/>
      <c r="L82" s="487"/>
      <c r="M82" s="1125"/>
      <c r="N82" s="2750"/>
      <c r="O82" s="2750"/>
      <c r="P82" s="2740"/>
      <c r="Q82" s="2735"/>
      <c r="R82" s="2721"/>
      <c r="S82" s="2721"/>
      <c r="T82" s="2721"/>
      <c r="U82" s="2721"/>
      <c r="V82" s="2721"/>
      <c r="W82" s="2721"/>
      <c r="X82" s="2721"/>
      <c r="Y82" s="2721"/>
      <c r="Z82" s="2721"/>
      <c r="AA82" s="2721"/>
      <c r="AB82" s="2721"/>
      <c r="AC82" s="2721"/>
    </row>
    <row r="83" spans="1:29" ht="14.4"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 thickTop="1">
      <c r="A84" s="482"/>
      <c r="B84" s="486" t="s">
        <v>1729</v>
      </c>
      <c r="C84" s="526" t="s">
        <v>1717</v>
      </c>
      <c r="D84" s="526" t="s">
        <v>1718</v>
      </c>
      <c r="E84" s="526" t="s">
        <v>1719</v>
      </c>
      <c r="F84" s="526" t="s">
        <v>1720</v>
      </c>
      <c r="G84" s="526" t="s">
        <v>1721</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 thickTop="1">
      <c r="A86" s="527"/>
      <c r="B86" s="486" t="s">
        <v>1800</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4.4"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7"/>
      <c r="B88" s="486" t="str">
        <f>B26</f>
        <v>平面位置/可视性</v>
      </c>
      <c r="C88" s="502"/>
      <c r="D88" s="502"/>
      <c r="E88" s="502"/>
      <c r="F88" s="1923"/>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4.4"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4.4"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4.4"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4.4"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4.4"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4.4"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4.4"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4.4"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4.4"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4.4" thickBot="1">
      <c r="A99" s="1924"/>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ht="14.4">
      <c r="A100" s="475" t="s">
        <v>1690</v>
      </c>
      <c r="B100" s="476" t="s">
        <v>1801</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4.4"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2"/>
      <c r="B102" s="486" t="s">
        <v>1733</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4.4"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1734</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4.4"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1736</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4.4"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1186</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4.4"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1738</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4.4"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1802</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4.4"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1803</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1804</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4.4"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1805</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4.4"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1740</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4.4"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7"/>
      <c r="B124" s="486" t="s">
        <v>1741</v>
      </c>
      <c r="C124" s="526" t="s">
        <v>1717</v>
      </c>
      <c r="D124" s="526" t="s">
        <v>1718</v>
      </c>
      <c r="E124" s="526" t="s">
        <v>1719</v>
      </c>
      <c r="F124" s="526" t="s">
        <v>1720</v>
      </c>
      <c r="G124" s="526" t="s">
        <v>1721</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4.4"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4.4"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4.4"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4.4"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4.4"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4.4" thickBot="1">
      <c r="A131" s="1924"/>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2"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1656</v>
      </c>
      <c r="B1" s="1953" t="s">
        <v>1806</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f>IF(C2="——",C50,ROUND(B2*10000/D3,0))</f>
        <v>0</v>
      </c>
      <c r="C3" s="353" t="s">
        <v>1764</v>
      </c>
      <c r="D3" s="352">
        <f>IF(D1="",'数据-汇总表'!E3,SUMIF('数据-汇总表'!$C19:$C33,D1,'数据-汇总表'!$E19:$E33))</f>
        <v>99232.329999999987</v>
      </c>
      <c r="E3" s="1950"/>
      <c r="F3" s="905"/>
      <c r="G3" s="904"/>
      <c r="H3" s="904"/>
      <c r="I3" s="904"/>
      <c r="J3" s="904"/>
      <c r="K3" s="906"/>
      <c r="L3" s="2730"/>
      <c r="M3" s="2731"/>
      <c r="N3" s="2731"/>
      <c r="O3" s="2731"/>
      <c r="P3" s="697"/>
      <c r="Q3" s="697"/>
      <c r="R3" s="697"/>
      <c r="S3" s="697"/>
      <c r="T3" s="697"/>
      <c r="U3" s="697"/>
      <c r="V3" s="697"/>
      <c r="W3" s="697"/>
      <c r="X3" s="697"/>
      <c r="Y3" s="697"/>
      <c r="Z3" s="697"/>
      <c r="AA3" s="697"/>
      <c r="AB3" s="697"/>
      <c r="AC3" s="698"/>
    </row>
    <row r="4" spans="1:29" ht="14.4">
      <c r="A4" s="354" t="s">
        <v>1765</v>
      </c>
      <c r="B4" s="355"/>
      <c r="C4" s="3843" t="s">
        <v>1766</v>
      </c>
      <c r="D4" s="3844"/>
      <c r="E4" s="3845" t="s">
        <v>1767</v>
      </c>
      <c r="F4" s="3846"/>
      <c r="G4" s="3843" t="s">
        <v>1768</v>
      </c>
      <c r="H4" s="3844"/>
      <c r="I4" s="3843" t="s">
        <v>1769</v>
      </c>
      <c r="J4" s="3844"/>
      <c r="K4" s="558" t="s">
        <v>1770</v>
      </c>
      <c r="L4" s="2711"/>
      <c r="M4" s="2712"/>
      <c r="N4" s="2712"/>
      <c r="O4" s="2712"/>
      <c r="P4" s="3877" t="s">
        <v>1771</v>
      </c>
      <c r="Q4" s="3878"/>
      <c r="R4" s="3872" t="s">
        <v>1767</v>
      </c>
      <c r="S4" s="3873"/>
      <c r="T4" s="3872" t="s">
        <v>1768</v>
      </c>
      <c r="U4" s="3873"/>
      <c r="V4" s="3881" t="s">
        <v>1769</v>
      </c>
      <c r="W4" s="3881"/>
      <c r="X4" s="1954"/>
      <c r="Y4" s="3872" t="s">
        <v>1771</v>
      </c>
      <c r="Z4" s="3873"/>
      <c r="AA4" s="3871" t="s">
        <v>1767</v>
      </c>
      <c r="AB4" s="3871" t="s">
        <v>1768</v>
      </c>
      <c r="AC4" s="3874" t="s">
        <v>1769</v>
      </c>
    </row>
    <row r="5" spans="1:29">
      <c r="A5" s="357"/>
      <c r="B5" s="358"/>
      <c r="C5" s="3836" t="s">
        <v>1669</v>
      </c>
      <c r="D5" s="3837"/>
      <c r="E5" s="3834" t="s">
        <v>1670</v>
      </c>
      <c r="F5" s="3835"/>
      <c r="G5" s="3836" t="s">
        <v>1671</v>
      </c>
      <c r="H5" s="3837"/>
      <c r="I5" s="3836" t="s">
        <v>1672</v>
      </c>
      <c r="J5" s="3837"/>
      <c r="K5" s="558"/>
      <c r="L5" s="2711"/>
      <c r="M5" s="2712"/>
      <c r="N5" s="2712"/>
      <c r="O5" s="2712"/>
      <c r="P5" s="3879"/>
      <c r="Q5" s="3850"/>
      <c r="R5" s="3832"/>
      <c r="S5" s="3833"/>
      <c r="T5" s="3832"/>
      <c r="U5" s="3833"/>
      <c r="V5" s="3855"/>
      <c r="W5" s="3855"/>
      <c r="X5" s="1351"/>
      <c r="Y5" s="3832"/>
      <c r="Z5" s="3833"/>
      <c r="AA5" s="3826"/>
      <c r="AB5" s="3826"/>
      <c r="AC5" s="3875"/>
    </row>
    <row r="6" spans="1:29" ht="15" thickBot="1">
      <c r="A6" s="359"/>
      <c r="B6" s="360"/>
      <c r="C6" s="3838" t="s">
        <v>1673</v>
      </c>
      <c r="D6" s="3839"/>
      <c r="E6" s="3840" t="s">
        <v>1673</v>
      </c>
      <c r="F6" s="3841"/>
      <c r="G6" s="3838" t="s">
        <v>1673</v>
      </c>
      <c r="H6" s="3839"/>
      <c r="I6" s="3838" t="s">
        <v>1673</v>
      </c>
      <c r="J6" s="3839"/>
      <c r="K6" s="558" t="s">
        <v>1674</v>
      </c>
      <c r="L6" s="2711"/>
      <c r="M6" s="2712"/>
      <c r="N6" s="2712"/>
      <c r="O6" s="2712"/>
      <c r="P6" s="3880"/>
      <c r="Q6" s="3852"/>
      <c r="R6" s="3832"/>
      <c r="S6" s="3833"/>
      <c r="T6" s="3853"/>
      <c r="U6" s="3854"/>
      <c r="V6" s="3855"/>
      <c r="W6" s="3855"/>
      <c r="X6" s="1351"/>
      <c r="Y6" s="3853"/>
      <c r="Z6" s="3854"/>
      <c r="AA6" s="3827"/>
      <c r="AB6" s="3827"/>
      <c r="AC6" s="3876"/>
    </row>
    <row r="7" spans="1:29" s="108" customFormat="1" ht="15" thickBot="1">
      <c r="A7" s="361" t="s">
        <v>1675</v>
      </c>
      <c r="B7" s="362"/>
      <c r="C7" s="363">
        <f>'数据-取费表'!B2</f>
        <v>45086</v>
      </c>
      <c r="D7" s="364">
        <v>100</v>
      </c>
      <c r="E7" s="365"/>
      <c r="F7" s="366">
        <f>SUMIF(59:59,YEAR(E7)&amp;"-"&amp;MONTH(E7),60:60)</f>
        <v>0</v>
      </c>
      <c r="G7" s="365"/>
      <c r="H7" s="364">
        <f>SUMIF(59:59,YEAR(G7)&amp;"-"&amp;MONTH(G7),60:60)</f>
        <v>0</v>
      </c>
      <c r="I7" s="365"/>
      <c r="J7" s="364">
        <f>SUMIF(59:59,YEAR(I7)&amp;"-"&amp;MONTH(I7),60:60)</f>
        <v>0</v>
      </c>
      <c r="K7" s="559"/>
      <c r="L7" s="2713"/>
      <c r="M7" s="2714"/>
      <c r="N7" s="2714"/>
      <c r="O7" s="2714"/>
      <c r="P7" s="3882" t="s">
        <v>1676</v>
      </c>
      <c r="Q7" s="3856"/>
      <c r="R7" s="699" t="s">
        <v>14</v>
      </c>
      <c r="S7" s="700">
        <f t="shared" ref="S7:S15" si="0">F7</f>
        <v>0</v>
      </c>
      <c r="T7" s="699" t="s">
        <v>14</v>
      </c>
      <c r="U7" s="700">
        <f t="shared" ref="U7:U15" si="1">H7</f>
        <v>0</v>
      </c>
      <c r="V7" s="699" t="s">
        <v>14</v>
      </c>
      <c r="W7" s="700">
        <f t="shared" ref="W7:W15" si="2">J7</f>
        <v>0</v>
      </c>
      <c r="X7" s="701"/>
      <c r="Y7" s="3828" t="s">
        <v>1676</v>
      </c>
      <c r="Z7" s="3829"/>
      <c r="AA7" s="702" t="e">
        <f>D7/F7</f>
        <v>#DIV/0!</v>
      </c>
      <c r="AB7" s="702" t="e">
        <f>D7/H7</f>
        <v>#DIV/0!</v>
      </c>
      <c r="AC7" s="1955" t="e">
        <f>D7/J7</f>
        <v>#DIV/0!</v>
      </c>
    </row>
    <row r="8" spans="1:29" s="108" customFormat="1" ht="15" thickBot="1">
      <c r="A8" s="361" t="s">
        <v>1677</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882" t="s">
        <v>1679</v>
      </c>
      <c r="Q8" s="3829"/>
      <c r="R8" s="699" t="s">
        <v>14</v>
      </c>
      <c r="S8" s="700">
        <f t="shared" si="0"/>
        <v>100</v>
      </c>
      <c r="T8" s="699" t="s">
        <v>14</v>
      </c>
      <c r="U8" s="700">
        <f t="shared" si="1"/>
        <v>100</v>
      </c>
      <c r="V8" s="699" t="s">
        <v>14</v>
      </c>
      <c r="W8" s="700">
        <f t="shared" si="2"/>
        <v>100</v>
      </c>
      <c r="X8" s="701"/>
      <c r="Y8" s="3828" t="s">
        <v>1679</v>
      </c>
      <c r="Z8" s="3829"/>
      <c r="AA8" s="702">
        <f t="shared" ref="AA8:AA47" si="3">D8/F8</f>
        <v>1</v>
      </c>
      <c r="AB8" s="702">
        <f t="shared" ref="AB8:AB47" si="4">D8/H8</f>
        <v>1</v>
      </c>
      <c r="AC8" s="1955">
        <f t="shared" ref="AC8:AC47" si="5">D8/J8</f>
        <v>1</v>
      </c>
    </row>
    <row r="9" spans="1:29" s="108" customFormat="1" ht="14.4">
      <c r="A9" s="368" t="s">
        <v>1680</v>
      </c>
      <c r="B9" s="63" t="s">
        <v>1681</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842" t="s">
        <v>1682</v>
      </c>
      <c r="Q9" s="1339" t="str">
        <f t="shared" ref="Q9:Q15" si="6">B9</f>
        <v>用途</v>
      </c>
      <c r="R9" s="699" t="s">
        <v>14</v>
      </c>
      <c r="S9" s="700">
        <f t="shared" si="0"/>
        <v>100</v>
      </c>
      <c r="T9" s="699" t="s">
        <v>14</v>
      </c>
      <c r="U9" s="700">
        <f t="shared" si="1"/>
        <v>100</v>
      </c>
      <c r="V9" s="699" t="s">
        <v>14</v>
      </c>
      <c r="W9" s="700">
        <f t="shared" si="2"/>
        <v>100</v>
      </c>
      <c r="X9" s="701"/>
      <c r="Y9" s="3753" t="s">
        <v>1683</v>
      </c>
      <c r="Z9" s="52" t="str">
        <f t="shared" ref="Z9:Z15" si="7">Q9</f>
        <v>用途</v>
      </c>
      <c r="AA9" s="702">
        <f t="shared" si="3"/>
        <v>1</v>
      </c>
      <c r="AB9" s="702">
        <f t="shared" si="4"/>
        <v>1</v>
      </c>
      <c r="AC9" s="1955">
        <f t="shared" si="5"/>
        <v>1</v>
      </c>
    </row>
    <row r="10" spans="1:29" s="377" customFormat="1" ht="28.8">
      <c r="A10" s="373"/>
      <c r="B10" s="374" t="s">
        <v>1684</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842"/>
      <c r="Q10" s="1339" t="str">
        <f t="shared" si="6"/>
        <v>土地使用年限（年）</v>
      </c>
      <c r="R10" s="699" t="s">
        <v>14</v>
      </c>
      <c r="S10" s="700">
        <f t="shared" si="0"/>
        <v>100</v>
      </c>
      <c r="T10" s="699" t="s">
        <v>14</v>
      </c>
      <c r="U10" s="700">
        <f t="shared" si="1"/>
        <v>100</v>
      </c>
      <c r="V10" s="699" t="s">
        <v>14</v>
      </c>
      <c r="W10" s="700">
        <f t="shared" si="2"/>
        <v>100</v>
      </c>
      <c r="X10" s="701"/>
      <c r="Y10" s="3753"/>
      <c r="Z10" s="52" t="str">
        <f t="shared" si="7"/>
        <v>土地使用年限（年）</v>
      </c>
      <c r="AA10" s="702">
        <f t="shared" si="3"/>
        <v>1</v>
      </c>
      <c r="AB10" s="702">
        <f t="shared" si="4"/>
        <v>1</v>
      </c>
      <c r="AC10" s="1955">
        <f t="shared" si="5"/>
        <v>1</v>
      </c>
    </row>
    <row r="11" spans="1:29" ht="15">
      <c r="A11" s="378"/>
      <c r="B11" s="374" t="s">
        <v>1685</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842"/>
      <c r="Q11" s="1339" t="str">
        <f t="shared" si="6"/>
        <v>容积率</v>
      </c>
      <c r="R11" s="699" t="s">
        <v>14</v>
      </c>
      <c r="S11" s="700">
        <f t="shared" si="0"/>
        <v>100</v>
      </c>
      <c r="T11" s="699" t="s">
        <v>14</v>
      </c>
      <c r="U11" s="700">
        <f t="shared" si="1"/>
        <v>100</v>
      </c>
      <c r="V11" s="699" t="s">
        <v>14</v>
      </c>
      <c r="W11" s="700">
        <f t="shared" si="2"/>
        <v>100</v>
      </c>
      <c r="X11" s="701"/>
      <c r="Y11" s="3753"/>
      <c r="Z11" s="52" t="str">
        <f t="shared" si="7"/>
        <v>容积率</v>
      </c>
      <c r="AA11" s="702">
        <f t="shared" si="3"/>
        <v>1</v>
      </c>
      <c r="AB11" s="702">
        <f t="shared" si="4"/>
        <v>1</v>
      </c>
      <c r="AC11" s="1955">
        <f t="shared" si="5"/>
        <v>1</v>
      </c>
    </row>
    <row r="12" spans="1:29" s="108"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3"/>
      <c r="M12" s="2714"/>
      <c r="N12" s="2714"/>
      <c r="O12" s="2714"/>
      <c r="P12" s="3842"/>
      <c r="Q12" s="1339">
        <f t="shared" si="6"/>
        <v>111</v>
      </c>
      <c r="R12" s="699" t="s">
        <v>14</v>
      </c>
      <c r="S12" s="700">
        <f t="shared" si="0"/>
        <v>100</v>
      </c>
      <c r="T12" s="699" t="s">
        <v>14</v>
      </c>
      <c r="U12" s="700">
        <f t="shared" si="1"/>
        <v>100</v>
      </c>
      <c r="V12" s="699" t="s">
        <v>14</v>
      </c>
      <c r="W12" s="700">
        <f t="shared" si="2"/>
        <v>100</v>
      </c>
      <c r="X12" s="701"/>
      <c r="Y12" s="3753"/>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8"/>
      <c r="M13" s="2712"/>
      <c r="N13" s="2712"/>
      <c r="O13" s="2712"/>
      <c r="P13" s="3842"/>
      <c r="Q13" s="1339">
        <f t="shared" si="6"/>
        <v>111</v>
      </c>
      <c r="R13" s="699" t="s">
        <v>14</v>
      </c>
      <c r="S13" s="700">
        <f t="shared" si="0"/>
        <v>100</v>
      </c>
      <c r="T13" s="699" t="s">
        <v>14</v>
      </c>
      <c r="U13" s="700">
        <f t="shared" si="1"/>
        <v>100</v>
      </c>
      <c r="V13" s="699" t="s">
        <v>14</v>
      </c>
      <c r="W13" s="700">
        <f t="shared" si="2"/>
        <v>100</v>
      </c>
      <c r="X13" s="701"/>
      <c r="Y13" s="3753"/>
      <c r="Z13" s="52">
        <f t="shared" si="7"/>
        <v>111</v>
      </c>
      <c r="AA13" s="702">
        <f t="shared" si="3"/>
        <v>1</v>
      </c>
      <c r="AB13" s="702">
        <f t="shared" si="4"/>
        <v>1</v>
      </c>
      <c r="AC13" s="1955">
        <f t="shared" si="5"/>
        <v>1</v>
      </c>
    </row>
    <row r="14" spans="1:29" ht="15.6"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8"/>
      <c r="M14" s="2712"/>
      <c r="N14" s="2712"/>
      <c r="O14" s="2712"/>
      <c r="P14" s="3842"/>
      <c r="Q14" s="1339">
        <f t="shared" si="6"/>
        <v>111</v>
      </c>
      <c r="R14" s="699" t="s">
        <v>14</v>
      </c>
      <c r="S14" s="700">
        <f t="shared" si="0"/>
        <v>100</v>
      </c>
      <c r="T14" s="699" t="s">
        <v>14</v>
      </c>
      <c r="U14" s="700">
        <f t="shared" si="1"/>
        <v>100</v>
      </c>
      <c r="V14" s="699" t="s">
        <v>14</v>
      </c>
      <c r="W14" s="700">
        <f t="shared" si="2"/>
        <v>100</v>
      </c>
      <c r="X14" s="701"/>
      <c r="Y14" s="3753"/>
      <c r="Z14" s="52">
        <f t="shared" si="7"/>
        <v>111</v>
      </c>
      <c r="AA14" s="702">
        <f t="shared" si="3"/>
        <v>1</v>
      </c>
      <c r="AB14" s="702">
        <f t="shared" si="4"/>
        <v>1</v>
      </c>
      <c r="AC14" s="1955">
        <f t="shared" si="5"/>
        <v>1</v>
      </c>
    </row>
    <row r="15" spans="1:29" ht="69">
      <c r="A15" s="390" t="s">
        <v>1686</v>
      </c>
      <c r="B15" s="576" t="s">
        <v>1807</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869" t="s">
        <v>1687</v>
      </c>
      <c r="Q15" s="1348" t="str">
        <f t="shared" si="6"/>
        <v>办公集聚程度</v>
      </c>
      <c r="R15" s="703" t="s">
        <v>14</v>
      </c>
      <c r="S15" s="704">
        <f t="shared" si="0"/>
        <v>100</v>
      </c>
      <c r="T15" s="703" t="s">
        <v>14</v>
      </c>
      <c r="U15" s="704">
        <f t="shared" si="1"/>
        <v>100</v>
      </c>
      <c r="V15" s="703" t="s">
        <v>14</v>
      </c>
      <c r="W15" s="704">
        <f t="shared" si="2"/>
        <v>100</v>
      </c>
      <c r="X15" s="1351"/>
      <c r="Y15" s="3862" t="s">
        <v>1687</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8"/>
      <c r="M16" s="2712"/>
      <c r="N16" s="2712"/>
      <c r="O16" s="2712"/>
      <c r="P16" s="3870"/>
      <c r="Q16" s="1348"/>
      <c r="R16" s="703"/>
      <c r="S16" s="704"/>
      <c r="T16" s="703"/>
      <c r="U16" s="704"/>
      <c r="V16" s="703"/>
      <c r="W16" s="704"/>
      <c r="X16" s="1351"/>
      <c r="Y16" s="3863"/>
      <c r="Z16" s="1352"/>
      <c r="AA16" s="1349">
        <v>1</v>
      </c>
      <c r="AB16" s="1349">
        <v>1</v>
      </c>
      <c r="AC16" s="1958">
        <v>1</v>
      </c>
    </row>
    <row r="17" spans="1:29" ht="82.8">
      <c r="A17" s="378"/>
      <c r="B17" s="578" t="s">
        <v>1255</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870"/>
      <c r="Q17" s="1348" t="str">
        <f>B17</f>
        <v>交通便捷度</v>
      </c>
      <c r="R17" s="703" t="s">
        <v>14</v>
      </c>
      <c r="S17" s="704">
        <f>F17</f>
        <v>100</v>
      </c>
      <c r="T17" s="703" t="s">
        <v>14</v>
      </c>
      <c r="U17" s="704">
        <f>H17</f>
        <v>100</v>
      </c>
      <c r="V17" s="703" t="s">
        <v>14</v>
      </c>
      <c r="W17" s="704">
        <f>J17</f>
        <v>100</v>
      </c>
      <c r="X17" s="1351"/>
      <c r="Y17" s="3863"/>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8"/>
      <c r="M18" s="2712"/>
      <c r="N18" s="2712"/>
      <c r="O18" s="2712"/>
      <c r="P18" s="3870"/>
      <c r="Q18" s="1348"/>
      <c r="R18" s="703"/>
      <c r="S18" s="704"/>
      <c r="T18" s="703"/>
      <c r="U18" s="704"/>
      <c r="V18" s="703"/>
      <c r="W18" s="704"/>
      <c r="X18" s="1351"/>
      <c r="Y18" s="3863"/>
      <c r="Z18" s="1352"/>
      <c r="AA18" s="1349">
        <v>1</v>
      </c>
      <c r="AB18" s="1349">
        <v>1</v>
      </c>
      <c r="AC18" s="1958">
        <v>1</v>
      </c>
    </row>
    <row r="19" spans="1:29" ht="41.4">
      <c r="A19" s="378"/>
      <c r="B19" s="578" t="s">
        <v>1808</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870"/>
      <c r="Q19" s="1348" t="str">
        <f>B19</f>
        <v>公共配套设施</v>
      </c>
      <c r="R19" s="703" t="s">
        <v>14</v>
      </c>
      <c r="S19" s="704">
        <f>F19</f>
        <v>100</v>
      </c>
      <c r="T19" s="703" t="s">
        <v>14</v>
      </c>
      <c r="U19" s="704">
        <f>H19</f>
        <v>100</v>
      </c>
      <c r="V19" s="703" t="s">
        <v>14</v>
      </c>
      <c r="W19" s="704">
        <f>J19</f>
        <v>100</v>
      </c>
      <c r="X19" s="1351"/>
      <c r="Y19" s="3863"/>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8"/>
      <c r="M20" s="2712"/>
      <c r="N20" s="2712"/>
      <c r="O20" s="2712"/>
      <c r="P20" s="3870"/>
      <c r="Q20" s="1348"/>
      <c r="R20" s="703"/>
      <c r="S20" s="704"/>
      <c r="T20" s="703"/>
      <c r="U20" s="704"/>
      <c r="V20" s="703"/>
      <c r="W20" s="704"/>
      <c r="X20" s="1351"/>
      <c r="Y20" s="3863"/>
      <c r="Z20" s="1352"/>
      <c r="AA20" s="1349">
        <v>1</v>
      </c>
      <c r="AB20" s="1349">
        <v>1</v>
      </c>
      <c r="AC20" s="1958">
        <v>1</v>
      </c>
    </row>
    <row r="21" spans="1:29" ht="27.6">
      <c r="A21" s="378"/>
      <c r="B21" s="580" t="s">
        <v>1809</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870"/>
      <c r="Q21" s="1348" t="str">
        <f>B21</f>
        <v>基础设施水平</v>
      </c>
      <c r="R21" s="703" t="s">
        <v>14</v>
      </c>
      <c r="S21" s="704">
        <f>F21</f>
        <v>100</v>
      </c>
      <c r="T21" s="703" t="s">
        <v>14</v>
      </c>
      <c r="U21" s="704">
        <f>H21</f>
        <v>100</v>
      </c>
      <c r="V21" s="703" t="s">
        <v>14</v>
      </c>
      <c r="W21" s="704">
        <f>J21</f>
        <v>100</v>
      </c>
      <c r="X21" s="1351"/>
      <c r="Y21" s="3863"/>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6"/>
      <c r="L22" s="2718"/>
      <c r="M22" s="2712"/>
      <c r="N22" s="2712"/>
      <c r="O22" s="2712"/>
      <c r="P22" s="3870"/>
      <c r="Q22" s="1348"/>
      <c r="R22" s="703"/>
      <c r="S22" s="704"/>
      <c r="T22" s="703"/>
      <c r="U22" s="704"/>
      <c r="V22" s="703"/>
      <c r="W22" s="704"/>
      <c r="X22" s="1351"/>
      <c r="Y22" s="3863"/>
      <c r="Z22" s="1352"/>
      <c r="AA22" s="1349">
        <v>1</v>
      </c>
      <c r="AB22" s="1349">
        <v>1</v>
      </c>
      <c r="AC22" s="1958">
        <v>1</v>
      </c>
    </row>
    <row r="23" spans="1:29" ht="55.2">
      <c r="A23" s="378"/>
      <c r="B23" s="578" t="s">
        <v>1810</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870"/>
      <c r="Q23" s="1348" t="str">
        <f>B23</f>
        <v>环境质量</v>
      </c>
      <c r="R23" s="703" t="s">
        <v>14</v>
      </c>
      <c r="S23" s="704">
        <f>F23</f>
        <v>100</v>
      </c>
      <c r="T23" s="703" t="s">
        <v>14</v>
      </c>
      <c r="U23" s="704">
        <f>H23</f>
        <v>100</v>
      </c>
      <c r="V23" s="703" t="s">
        <v>14</v>
      </c>
      <c r="W23" s="704">
        <f>J23</f>
        <v>100</v>
      </c>
      <c r="X23" s="1351"/>
      <c r="Y23" s="3863"/>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8"/>
      <c r="M24" s="2712"/>
      <c r="N24" s="2712"/>
      <c r="O24" s="2712"/>
      <c r="P24" s="3870"/>
      <c r="Q24" s="1348"/>
      <c r="R24" s="703"/>
      <c r="S24" s="704"/>
      <c r="T24" s="703"/>
      <c r="U24" s="704"/>
      <c r="V24" s="703"/>
      <c r="W24" s="704"/>
      <c r="X24" s="1351"/>
      <c r="Y24" s="3863"/>
      <c r="Z24" s="1352"/>
      <c r="AA24" s="1349">
        <v>1</v>
      </c>
      <c r="AB24" s="1349">
        <v>1</v>
      </c>
      <c r="AC24" s="1958">
        <v>1</v>
      </c>
    </row>
    <row r="25" spans="1:29" ht="28.8">
      <c r="A25" s="357"/>
      <c r="B25" s="578" t="s">
        <v>1811</v>
      </c>
      <c r="C25" s="1904"/>
      <c r="D25" s="385">
        <v>100</v>
      </c>
      <c r="E25" s="384"/>
      <c r="F25" s="385">
        <f>SUMIF(87:87,E26,88:88)-SUMIF(87:87,C26,88:88)+100</f>
        <v>100</v>
      </c>
      <c r="G25" s="1904"/>
      <c r="H25" s="385">
        <f>SUMIF(87:87,G26,88:88)-SUMIF(87:87,C26,88:88)+100</f>
        <v>100</v>
      </c>
      <c r="I25" s="384"/>
      <c r="J25" s="385">
        <f>SUMIF(87:87,I26,88:88)-SUMIF(87:87,C26,88:88)+100</f>
        <v>100</v>
      </c>
      <c r="K25" s="562"/>
      <c r="L25" s="2718"/>
      <c r="M25" s="2712"/>
      <c r="N25" s="2712"/>
      <c r="O25" s="2712"/>
      <c r="P25" s="3870"/>
      <c r="Q25" s="1348" t="str">
        <f>B25</f>
        <v>毗邻道路的类型与等级</v>
      </c>
      <c r="R25" s="703" t="s">
        <v>14</v>
      </c>
      <c r="S25" s="704">
        <f>F25</f>
        <v>100</v>
      </c>
      <c r="T25" s="703" t="s">
        <v>14</v>
      </c>
      <c r="U25" s="704">
        <f>H25</f>
        <v>100</v>
      </c>
      <c r="V25" s="703" t="s">
        <v>14</v>
      </c>
      <c r="W25" s="704">
        <f>J25</f>
        <v>100</v>
      </c>
      <c r="X25" s="1351"/>
      <c r="Y25" s="3863"/>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8"/>
      <c r="M26" s="2712"/>
      <c r="N26" s="2712"/>
      <c r="O26" s="2712"/>
      <c r="P26" s="3870"/>
      <c r="Q26" s="1348"/>
      <c r="R26" s="703"/>
      <c r="S26" s="704"/>
      <c r="T26" s="703"/>
      <c r="U26" s="704"/>
      <c r="V26" s="703"/>
      <c r="W26" s="704"/>
      <c r="X26" s="1351"/>
      <c r="Y26" s="3863"/>
      <c r="Z26" s="1352"/>
      <c r="AA26" s="1349">
        <v>1</v>
      </c>
      <c r="AB26" s="1349">
        <v>1</v>
      </c>
      <c r="AC26" s="1958">
        <v>1</v>
      </c>
    </row>
    <row r="27" spans="1:29" ht="15">
      <c r="A27" s="378"/>
      <c r="B27" s="579" t="s">
        <v>1779</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870"/>
      <c r="Q27" s="1348" t="str">
        <f t="shared" ref="Q27:Q47" si="11">B27</f>
        <v>楼层</v>
      </c>
      <c r="R27" s="703" t="s">
        <v>14</v>
      </c>
      <c r="S27" s="704">
        <f>F27</f>
        <v>100</v>
      </c>
      <c r="T27" s="703" t="s">
        <v>14</v>
      </c>
      <c r="U27" s="704">
        <f>H27</f>
        <v>100</v>
      </c>
      <c r="V27" s="703" t="s">
        <v>14</v>
      </c>
      <c r="W27" s="704">
        <f>J27</f>
        <v>100</v>
      </c>
      <c r="X27" s="1351"/>
      <c r="Y27" s="3863"/>
      <c r="Z27" s="1352" t="str">
        <f>Q27</f>
        <v>楼层</v>
      </c>
      <c r="AA27" s="1349">
        <f t="shared" si="3"/>
        <v>1</v>
      </c>
      <c r="AB27" s="1349">
        <f t="shared" si="4"/>
        <v>1</v>
      </c>
      <c r="AC27" s="1958">
        <f t="shared" si="5"/>
        <v>1</v>
      </c>
    </row>
    <row r="28" spans="1:29" s="108" customFormat="1" ht="15">
      <c r="A28" s="381"/>
      <c r="B28" s="578" t="s">
        <v>1812</v>
      </c>
      <c r="C28" s="1961"/>
      <c r="D28" s="412">
        <v>100</v>
      </c>
      <c r="E28" s="1952"/>
      <c r="F28" s="412">
        <f>SUMIF(91:91,E28,92:92)-SUMIF(91:91,C28,92:92)+100</f>
        <v>100</v>
      </c>
      <c r="G28" s="1961"/>
      <c r="H28" s="412">
        <f>SUMIF(91:91,G28,92:92)-SUMIF(91:91,C28,92:92)+100</f>
        <v>100</v>
      </c>
      <c r="I28" s="1952"/>
      <c r="J28" s="412">
        <f>SUMIF(91:91,I28,92:92)-SUMIF(91:91,C28,92:92)+100</f>
        <v>100</v>
      </c>
      <c r="K28" s="560"/>
      <c r="L28" s="2713"/>
      <c r="M28" s="2714"/>
      <c r="N28" s="2714"/>
      <c r="O28" s="2714"/>
      <c r="P28" s="3870"/>
      <c r="Q28" s="1339" t="str">
        <f t="shared" si="11"/>
        <v>朝向</v>
      </c>
      <c r="R28" s="699" t="s">
        <v>14</v>
      </c>
      <c r="S28" s="700">
        <f>F28</f>
        <v>100</v>
      </c>
      <c r="T28" s="699" t="s">
        <v>14</v>
      </c>
      <c r="U28" s="700">
        <f>H28</f>
        <v>100</v>
      </c>
      <c r="V28" s="699" t="s">
        <v>14</v>
      </c>
      <c r="W28" s="700">
        <f>J28</f>
        <v>100</v>
      </c>
      <c r="X28" s="701"/>
      <c r="Y28" s="3863"/>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8"/>
      <c r="M29" s="2712"/>
      <c r="N29" s="2712"/>
      <c r="O29" s="2712"/>
      <c r="P29" s="3870"/>
      <c r="Q29" s="1348">
        <f t="shared" si="11"/>
        <v>111</v>
      </c>
      <c r="R29" s="703" t="s">
        <v>14</v>
      </c>
      <c r="S29" s="704">
        <f t="shared" ref="S29:S47" si="12">F29</f>
        <v>100</v>
      </c>
      <c r="T29" s="703" t="s">
        <v>14</v>
      </c>
      <c r="U29" s="704">
        <f t="shared" ref="U29:U47" si="13">H29</f>
        <v>100</v>
      </c>
      <c r="V29" s="703" t="s">
        <v>14</v>
      </c>
      <c r="W29" s="704">
        <f t="shared" ref="W29:W47" si="14">J29</f>
        <v>100</v>
      </c>
      <c r="X29" s="1351"/>
      <c r="Y29" s="3863"/>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8"/>
      <c r="M30" s="2712"/>
      <c r="N30" s="2712"/>
      <c r="O30" s="2712"/>
      <c r="P30" s="3870"/>
      <c r="Q30" s="1348">
        <f t="shared" si="11"/>
        <v>111</v>
      </c>
      <c r="R30" s="703" t="s">
        <v>14</v>
      </c>
      <c r="S30" s="704">
        <f t="shared" si="12"/>
        <v>100</v>
      </c>
      <c r="T30" s="703" t="s">
        <v>14</v>
      </c>
      <c r="U30" s="704">
        <f t="shared" si="13"/>
        <v>100</v>
      </c>
      <c r="V30" s="703" t="s">
        <v>14</v>
      </c>
      <c r="W30" s="704">
        <f t="shared" si="14"/>
        <v>100</v>
      </c>
      <c r="X30" s="1351"/>
      <c r="Y30" s="3863"/>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8"/>
      <c r="M31" s="2712"/>
      <c r="N31" s="2712"/>
      <c r="O31" s="2712"/>
      <c r="P31" s="3870"/>
      <c r="Q31" s="1348">
        <f t="shared" si="11"/>
        <v>111</v>
      </c>
      <c r="R31" s="703" t="s">
        <v>14</v>
      </c>
      <c r="S31" s="704">
        <f t="shared" si="12"/>
        <v>100</v>
      </c>
      <c r="T31" s="703" t="s">
        <v>14</v>
      </c>
      <c r="U31" s="704">
        <f t="shared" si="13"/>
        <v>100</v>
      </c>
      <c r="V31" s="703" t="s">
        <v>14</v>
      </c>
      <c r="W31" s="704">
        <f t="shared" si="14"/>
        <v>100</v>
      </c>
      <c r="X31" s="1351"/>
      <c r="Y31" s="3863"/>
      <c r="Z31" s="1352">
        <f t="shared" si="15"/>
        <v>111</v>
      </c>
      <c r="AA31" s="1349">
        <f t="shared" si="3"/>
        <v>1</v>
      </c>
      <c r="AB31" s="1349">
        <f t="shared" si="4"/>
        <v>1</v>
      </c>
      <c r="AC31" s="1958">
        <f t="shared" si="5"/>
        <v>1</v>
      </c>
    </row>
    <row r="32" spans="1:29" ht="15.6"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8"/>
      <c r="M32" s="2712"/>
      <c r="N32" s="2712"/>
      <c r="O32" s="2712"/>
      <c r="P32" s="3870"/>
      <c r="Q32" s="1348">
        <f t="shared" si="11"/>
        <v>111</v>
      </c>
      <c r="R32" s="703" t="s">
        <v>14</v>
      </c>
      <c r="S32" s="704">
        <f t="shared" si="12"/>
        <v>100</v>
      </c>
      <c r="T32" s="703" t="s">
        <v>14</v>
      </c>
      <c r="U32" s="704">
        <f t="shared" si="13"/>
        <v>100</v>
      </c>
      <c r="V32" s="703" t="s">
        <v>14</v>
      </c>
      <c r="W32" s="704">
        <f t="shared" si="14"/>
        <v>100</v>
      </c>
      <c r="X32" s="1351"/>
      <c r="Y32" s="3863"/>
      <c r="Z32" s="1352">
        <f t="shared" si="15"/>
        <v>111</v>
      </c>
      <c r="AA32" s="1349">
        <f t="shared" si="3"/>
        <v>1</v>
      </c>
      <c r="AB32" s="1349">
        <f t="shared" si="4"/>
        <v>1</v>
      </c>
      <c r="AC32" s="1958">
        <f t="shared" si="5"/>
        <v>1</v>
      </c>
    </row>
    <row r="33" spans="1:29" ht="15">
      <c r="A33" s="390" t="s">
        <v>1690</v>
      </c>
      <c r="B33" s="63" t="s">
        <v>1813</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8"/>
      <c r="M33" s="2712"/>
      <c r="N33" s="2712"/>
      <c r="O33" s="2712"/>
      <c r="P33" s="3864" t="s">
        <v>1692</v>
      </c>
      <c r="Q33" s="1348" t="str">
        <f t="shared" si="11"/>
        <v>建筑类型</v>
      </c>
      <c r="R33" s="703" t="s">
        <v>14</v>
      </c>
      <c r="S33" s="704">
        <f t="shared" si="12"/>
        <v>100</v>
      </c>
      <c r="T33" s="703" t="s">
        <v>14</v>
      </c>
      <c r="U33" s="704">
        <f t="shared" si="13"/>
        <v>100</v>
      </c>
      <c r="V33" s="703" t="s">
        <v>14</v>
      </c>
      <c r="W33" s="704">
        <f t="shared" si="14"/>
        <v>100</v>
      </c>
      <c r="X33" s="1351"/>
      <c r="Y33" s="3867" t="s">
        <v>1692</v>
      </c>
      <c r="Z33" s="1352" t="str">
        <f t="shared" si="15"/>
        <v>建筑类型</v>
      </c>
      <c r="AA33" s="1349">
        <f t="shared" si="3"/>
        <v>1</v>
      </c>
      <c r="AB33" s="1349">
        <f t="shared" si="4"/>
        <v>1</v>
      </c>
      <c r="AC33" s="1958">
        <f t="shared" si="5"/>
        <v>1</v>
      </c>
    </row>
    <row r="34" spans="1:29" s="421" customFormat="1" ht="15">
      <c r="A34" s="418"/>
      <c r="B34" s="374" t="s">
        <v>1693</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865"/>
      <c r="Q34" s="705" t="str">
        <f t="shared" si="11"/>
        <v>项目建筑规模</v>
      </c>
      <c r="R34" s="706" t="s">
        <v>14</v>
      </c>
      <c r="S34" s="707" t="e">
        <f t="shared" si="12"/>
        <v>#N/A</v>
      </c>
      <c r="T34" s="706" t="s">
        <v>14</v>
      </c>
      <c r="U34" s="707" t="e">
        <f t="shared" si="13"/>
        <v>#N/A</v>
      </c>
      <c r="V34" s="706" t="s">
        <v>14</v>
      </c>
      <c r="W34" s="707" t="e">
        <f t="shared" si="14"/>
        <v>#N/A</v>
      </c>
      <c r="X34" s="708"/>
      <c r="Y34" s="3867"/>
      <c r="Z34" s="709" t="str">
        <f t="shared" si="15"/>
        <v>项目建筑规模</v>
      </c>
      <c r="AA34" s="1349" t="e">
        <f t="shared" si="3"/>
        <v>#N/A</v>
      </c>
      <c r="AB34" s="1349" t="e">
        <f t="shared" si="4"/>
        <v>#N/A</v>
      </c>
      <c r="AC34" s="1958" t="e">
        <f t="shared" si="5"/>
        <v>#N/A</v>
      </c>
    </row>
    <row r="35" spans="1:29" ht="15">
      <c r="A35" s="422"/>
      <c r="B35" s="374" t="s">
        <v>1694</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865"/>
      <c r="Q35" s="1348" t="str">
        <f t="shared" si="11"/>
        <v>建筑结构</v>
      </c>
      <c r="R35" s="703" t="s">
        <v>14</v>
      </c>
      <c r="S35" s="704">
        <f t="shared" si="12"/>
        <v>100</v>
      </c>
      <c r="T35" s="703" t="s">
        <v>14</v>
      </c>
      <c r="U35" s="704">
        <f t="shared" si="13"/>
        <v>100</v>
      </c>
      <c r="V35" s="703" t="s">
        <v>14</v>
      </c>
      <c r="W35" s="704">
        <f t="shared" si="14"/>
        <v>100</v>
      </c>
      <c r="X35" s="1351"/>
      <c r="Y35" s="3867"/>
      <c r="Z35" s="1352" t="str">
        <f t="shared" si="15"/>
        <v>建筑结构</v>
      </c>
      <c r="AA35" s="1349">
        <f t="shared" si="3"/>
        <v>1</v>
      </c>
      <c r="AB35" s="1349">
        <f t="shared" si="4"/>
        <v>1</v>
      </c>
      <c r="AC35" s="1958">
        <f t="shared" si="5"/>
        <v>1</v>
      </c>
    </row>
    <row r="36" spans="1:29" ht="15">
      <c r="A36" s="422"/>
      <c r="B36" s="374" t="s">
        <v>1781</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865"/>
      <c r="Q36" s="1348" t="str">
        <f t="shared" si="11"/>
        <v>公共部分装修</v>
      </c>
      <c r="R36" s="703" t="s">
        <v>14</v>
      </c>
      <c r="S36" s="704">
        <f t="shared" si="12"/>
        <v>100</v>
      </c>
      <c r="T36" s="703" t="s">
        <v>14</v>
      </c>
      <c r="U36" s="704">
        <f t="shared" si="13"/>
        <v>100</v>
      </c>
      <c r="V36" s="703" t="s">
        <v>14</v>
      </c>
      <c r="W36" s="704">
        <f t="shared" si="14"/>
        <v>100</v>
      </c>
      <c r="X36" s="1351"/>
      <c r="Y36" s="3867"/>
      <c r="Z36" s="1352" t="str">
        <f t="shared" si="15"/>
        <v>公共部分装修</v>
      </c>
      <c r="AA36" s="1349">
        <f t="shared" si="3"/>
        <v>1</v>
      </c>
      <c r="AB36" s="1349">
        <f t="shared" si="4"/>
        <v>1</v>
      </c>
      <c r="AC36" s="1958">
        <f t="shared" si="5"/>
        <v>1</v>
      </c>
    </row>
    <row r="37" spans="1:29" ht="15">
      <c r="A37" s="422"/>
      <c r="B37" s="374" t="s">
        <v>1782</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865"/>
      <c r="Q37" s="1348" t="str">
        <f t="shared" si="11"/>
        <v>成新度</v>
      </c>
      <c r="R37" s="703" t="s">
        <v>14</v>
      </c>
      <c r="S37" s="704" t="e">
        <f t="shared" si="12"/>
        <v>#N/A</v>
      </c>
      <c r="T37" s="703" t="s">
        <v>14</v>
      </c>
      <c r="U37" s="704" t="e">
        <f t="shared" si="13"/>
        <v>#N/A</v>
      </c>
      <c r="V37" s="703" t="s">
        <v>14</v>
      </c>
      <c r="W37" s="704" t="e">
        <f t="shared" si="14"/>
        <v>#N/A</v>
      </c>
      <c r="X37" s="1351"/>
      <c r="Y37" s="3867"/>
      <c r="Z37" s="1352" t="str">
        <f t="shared" si="15"/>
        <v>成新度</v>
      </c>
      <c r="AA37" s="1349" t="e">
        <f t="shared" si="3"/>
        <v>#N/A</v>
      </c>
      <c r="AB37" s="1349" t="e">
        <f t="shared" si="4"/>
        <v>#N/A</v>
      </c>
      <c r="AC37" s="1958" t="e">
        <f t="shared" si="5"/>
        <v>#N/A</v>
      </c>
    </row>
    <row r="38" spans="1:29" s="108" customFormat="1" ht="15">
      <c r="A38" s="423"/>
      <c r="B38" s="374" t="s">
        <v>1814</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865"/>
      <c r="Q38" s="1339" t="str">
        <f t="shared" si="11"/>
        <v>写字楼等级</v>
      </c>
      <c r="R38" s="699" t="s">
        <v>14</v>
      </c>
      <c r="S38" s="700">
        <f t="shared" si="12"/>
        <v>100</v>
      </c>
      <c r="T38" s="699" t="s">
        <v>14</v>
      </c>
      <c r="U38" s="700">
        <f t="shared" si="13"/>
        <v>100</v>
      </c>
      <c r="V38" s="699" t="s">
        <v>14</v>
      </c>
      <c r="W38" s="700">
        <f t="shared" si="14"/>
        <v>100</v>
      </c>
      <c r="X38" s="701"/>
      <c r="Y38" s="3867"/>
      <c r="Z38" s="52" t="str">
        <f t="shared" si="15"/>
        <v>写字楼等级</v>
      </c>
      <c r="AA38" s="702">
        <f t="shared" si="3"/>
        <v>1</v>
      </c>
      <c r="AB38" s="702">
        <f t="shared" si="4"/>
        <v>1</v>
      </c>
      <c r="AC38" s="1955">
        <f t="shared" si="5"/>
        <v>1</v>
      </c>
    </row>
    <row r="39" spans="1:29" ht="15">
      <c r="A39" s="422"/>
      <c r="B39" s="374" t="s">
        <v>1815</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865" t="s">
        <v>1692</v>
      </c>
      <c r="Q39" s="1348" t="str">
        <f t="shared" si="11"/>
        <v>物业管理</v>
      </c>
      <c r="R39" s="703" t="s">
        <v>14</v>
      </c>
      <c r="S39" s="704">
        <f t="shared" si="12"/>
        <v>100</v>
      </c>
      <c r="T39" s="703" t="s">
        <v>14</v>
      </c>
      <c r="U39" s="704">
        <f t="shared" si="13"/>
        <v>100</v>
      </c>
      <c r="V39" s="703" t="s">
        <v>14</v>
      </c>
      <c r="W39" s="704">
        <f t="shared" si="14"/>
        <v>100</v>
      </c>
      <c r="X39" s="1351"/>
      <c r="Y39" s="3867" t="s">
        <v>1692</v>
      </c>
      <c r="Z39" s="1352" t="str">
        <f t="shared" si="15"/>
        <v>物业管理</v>
      </c>
      <c r="AA39" s="1349">
        <f t="shared" si="3"/>
        <v>1</v>
      </c>
      <c r="AB39" s="1349">
        <f t="shared" si="4"/>
        <v>1</v>
      </c>
      <c r="AC39" s="1958">
        <f t="shared" si="5"/>
        <v>1</v>
      </c>
    </row>
    <row r="40" spans="1:29" ht="15">
      <c r="A40" s="422"/>
      <c r="B40" s="374" t="s">
        <v>1783</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865"/>
      <c r="Q40" s="1348" t="str">
        <f t="shared" si="11"/>
        <v>市政基础设施</v>
      </c>
      <c r="R40" s="703" t="s">
        <v>14</v>
      </c>
      <c r="S40" s="704">
        <f t="shared" si="12"/>
        <v>100</v>
      </c>
      <c r="T40" s="703" t="s">
        <v>14</v>
      </c>
      <c r="U40" s="704">
        <f t="shared" si="13"/>
        <v>100</v>
      </c>
      <c r="V40" s="703" t="s">
        <v>14</v>
      </c>
      <c r="W40" s="704">
        <f t="shared" si="14"/>
        <v>100</v>
      </c>
      <c r="X40" s="1351"/>
      <c r="Y40" s="3867"/>
      <c r="Z40" s="1352" t="str">
        <f t="shared" si="15"/>
        <v>市政基础设施</v>
      </c>
      <c r="AA40" s="1349">
        <f t="shared" si="3"/>
        <v>1</v>
      </c>
      <c r="AB40" s="1349">
        <f t="shared" si="4"/>
        <v>1</v>
      </c>
      <c r="AC40" s="1958">
        <f t="shared" si="5"/>
        <v>1</v>
      </c>
    </row>
    <row r="41" spans="1:29" ht="15">
      <c r="A41" s="422"/>
      <c r="B41" s="374" t="s">
        <v>1785</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865"/>
      <c r="Q41" s="1348" t="str">
        <f t="shared" si="11"/>
        <v>层高</v>
      </c>
      <c r="R41" s="703" t="s">
        <v>14</v>
      </c>
      <c r="S41" s="704">
        <f t="shared" si="12"/>
        <v>100</v>
      </c>
      <c r="T41" s="703" t="s">
        <v>14</v>
      </c>
      <c r="U41" s="704">
        <f t="shared" si="13"/>
        <v>100</v>
      </c>
      <c r="V41" s="703" t="s">
        <v>14</v>
      </c>
      <c r="W41" s="704">
        <f t="shared" si="14"/>
        <v>100</v>
      </c>
      <c r="X41" s="1351"/>
      <c r="Y41" s="3867"/>
      <c r="Z41" s="1352" t="str">
        <f t="shared" si="15"/>
        <v>层高</v>
      </c>
      <c r="AA41" s="1349">
        <f t="shared" si="3"/>
        <v>1</v>
      </c>
      <c r="AB41" s="1349">
        <f t="shared" si="4"/>
        <v>1</v>
      </c>
      <c r="AC41" s="1958">
        <f t="shared" si="5"/>
        <v>1</v>
      </c>
    </row>
    <row r="42" spans="1:29" s="421" customFormat="1" ht="15">
      <c r="A42" s="418"/>
      <c r="B42" s="1350" t="s">
        <v>1816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865"/>
      <c r="Q42" s="705" t="str">
        <f t="shared" si="11"/>
        <v>单套建筑面积</v>
      </c>
      <c r="R42" s="706" t="s">
        <v>14</v>
      </c>
      <c r="S42" s="707">
        <f t="shared" si="12"/>
        <v>100</v>
      </c>
      <c r="T42" s="706" t="s">
        <v>14</v>
      </c>
      <c r="U42" s="707">
        <f t="shared" si="13"/>
        <v>100</v>
      </c>
      <c r="V42" s="706" t="s">
        <v>14</v>
      </c>
      <c r="W42" s="707">
        <f t="shared" si="14"/>
        <v>100</v>
      </c>
      <c r="X42" s="708"/>
      <c r="Y42" s="3867"/>
      <c r="Z42" s="709" t="str">
        <f t="shared" si="15"/>
        <v>单套建筑面积</v>
      </c>
      <c r="AA42" s="1349">
        <f t="shared" si="3"/>
        <v>1</v>
      </c>
      <c r="AB42" s="1349">
        <f t="shared" si="4"/>
        <v>1</v>
      </c>
      <c r="AC42" s="1958">
        <f t="shared" si="5"/>
        <v>1</v>
      </c>
    </row>
    <row r="43" spans="1:29" ht="15">
      <c r="A43" s="422"/>
      <c r="B43" s="374" t="s">
        <v>1788</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865"/>
      <c r="Q43" s="1348" t="str">
        <f t="shared" si="11"/>
        <v>内部装修</v>
      </c>
      <c r="R43" s="703" t="s">
        <v>14</v>
      </c>
      <c r="S43" s="704">
        <f t="shared" si="12"/>
        <v>100</v>
      </c>
      <c r="T43" s="703" t="s">
        <v>14</v>
      </c>
      <c r="U43" s="704">
        <f t="shared" si="13"/>
        <v>100</v>
      </c>
      <c r="V43" s="703" t="s">
        <v>14</v>
      </c>
      <c r="W43" s="704">
        <f t="shared" si="14"/>
        <v>100</v>
      </c>
      <c r="X43" s="1351"/>
      <c r="Y43" s="3867"/>
      <c r="Z43" s="1352" t="str">
        <f t="shared" si="15"/>
        <v>内部装修</v>
      </c>
      <c r="AA43" s="1349">
        <f t="shared" si="3"/>
        <v>1</v>
      </c>
      <c r="AB43" s="1349">
        <f t="shared" si="4"/>
        <v>1</v>
      </c>
      <c r="AC43" s="1958">
        <f t="shared" si="5"/>
        <v>1</v>
      </c>
    </row>
    <row r="44" spans="1:29" ht="28.8">
      <c r="A44" s="422"/>
      <c r="B44" s="374" t="s">
        <v>1703</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8"/>
      <c r="M44" s="2712"/>
      <c r="N44" s="2712"/>
      <c r="O44" s="2712"/>
      <c r="P44" s="3865"/>
      <c r="Q44" s="1348" t="str">
        <f t="shared" si="11"/>
        <v>内部装修维护情况</v>
      </c>
      <c r="R44" s="703" t="s">
        <v>14</v>
      </c>
      <c r="S44" s="704">
        <f t="shared" si="12"/>
        <v>100</v>
      </c>
      <c r="T44" s="703" t="s">
        <v>14</v>
      </c>
      <c r="U44" s="704">
        <f t="shared" si="13"/>
        <v>100</v>
      </c>
      <c r="V44" s="703" t="s">
        <v>14</v>
      </c>
      <c r="W44" s="704">
        <f t="shared" si="14"/>
        <v>100</v>
      </c>
      <c r="X44" s="1351"/>
      <c r="Y44" s="3867"/>
      <c r="Z44" s="1352" t="str">
        <f t="shared" si="15"/>
        <v>内部装修维护情况</v>
      </c>
      <c r="AA44" s="1349">
        <f t="shared" si="3"/>
        <v>1</v>
      </c>
      <c r="AB44" s="1349">
        <f t="shared" si="4"/>
        <v>1</v>
      </c>
      <c r="AC44" s="1958">
        <f t="shared" si="5"/>
        <v>1</v>
      </c>
    </row>
    <row r="45" spans="1:29" s="108"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865"/>
      <c r="Q45" s="1339">
        <f t="shared" si="11"/>
        <v>111</v>
      </c>
      <c r="R45" s="699" t="s">
        <v>14</v>
      </c>
      <c r="S45" s="700">
        <f t="shared" si="12"/>
        <v>100</v>
      </c>
      <c r="T45" s="699" t="s">
        <v>14</v>
      </c>
      <c r="U45" s="700">
        <f t="shared" si="13"/>
        <v>100</v>
      </c>
      <c r="V45" s="699" t="s">
        <v>14</v>
      </c>
      <c r="W45" s="700">
        <f t="shared" si="14"/>
        <v>100</v>
      </c>
      <c r="X45" s="701"/>
      <c r="Y45" s="3867"/>
      <c r="Z45" s="52">
        <f t="shared" si="15"/>
        <v>111</v>
      </c>
      <c r="AA45" s="702">
        <f t="shared" si="3"/>
        <v>1</v>
      </c>
      <c r="AB45" s="702">
        <f t="shared" si="4"/>
        <v>1</v>
      </c>
      <c r="AC45" s="1955">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865"/>
      <c r="Q46" s="1348">
        <f t="shared" si="11"/>
        <v>111</v>
      </c>
      <c r="R46" s="703" t="s">
        <v>14</v>
      </c>
      <c r="S46" s="704">
        <f t="shared" si="12"/>
        <v>100</v>
      </c>
      <c r="T46" s="703" t="s">
        <v>14</v>
      </c>
      <c r="U46" s="704">
        <f t="shared" si="13"/>
        <v>100</v>
      </c>
      <c r="V46" s="703" t="s">
        <v>14</v>
      </c>
      <c r="W46" s="704">
        <f t="shared" si="14"/>
        <v>100</v>
      </c>
      <c r="X46" s="1351"/>
      <c r="Y46" s="3867"/>
      <c r="Z46" s="1352">
        <f t="shared" si="15"/>
        <v>111</v>
      </c>
      <c r="AA46" s="1349">
        <f t="shared" si="3"/>
        <v>1</v>
      </c>
      <c r="AB46" s="1349">
        <f t="shared" si="4"/>
        <v>1</v>
      </c>
      <c r="AC46" s="1958">
        <f t="shared" si="5"/>
        <v>1</v>
      </c>
    </row>
    <row r="47" spans="1:29" ht="15.6"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866"/>
      <c r="Q47" s="1348">
        <f t="shared" si="11"/>
        <v>111</v>
      </c>
      <c r="R47" s="703" t="s">
        <v>14</v>
      </c>
      <c r="S47" s="704">
        <f t="shared" si="12"/>
        <v>100</v>
      </c>
      <c r="T47" s="703" t="s">
        <v>14</v>
      </c>
      <c r="U47" s="704">
        <f t="shared" si="13"/>
        <v>100</v>
      </c>
      <c r="V47" s="703" t="s">
        <v>14</v>
      </c>
      <c r="W47" s="704">
        <f t="shared" si="14"/>
        <v>100</v>
      </c>
      <c r="X47" s="1351"/>
      <c r="Y47" s="3868"/>
      <c r="Z47" s="1352">
        <f t="shared" si="15"/>
        <v>111</v>
      </c>
      <c r="AA47" s="1349">
        <f t="shared" si="3"/>
        <v>1</v>
      </c>
      <c r="AB47" s="1349">
        <f t="shared" si="4"/>
        <v>1</v>
      </c>
      <c r="AC47" s="1958">
        <f t="shared" si="5"/>
        <v>1</v>
      </c>
    </row>
    <row r="48" spans="1:29" ht="14.4">
      <c r="A48" s="429" t="s">
        <v>1704</v>
      </c>
      <c r="B48" s="430"/>
      <c r="C48" s="1150" t="s">
        <v>0</v>
      </c>
      <c r="D48" s="1151"/>
      <c r="E48" s="1152"/>
      <c r="F48" s="1153"/>
      <c r="G48" s="1154"/>
      <c r="H48" s="1155"/>
      <c r="I48" s="1152"/>
      <c r="J48" s="435"/>
      <c r="K48" s="712"/>
      <c r="L48" s="2720"/>
      <c r="M48" s="2712"/>
      <c r="N48" s="2712"/>
      <c r="O48" s="2712"/>
      <c r="P48" s="3842" t="str">
        <f>A48</f>
        <v>成交单价（元/平方米）</v>
      </c>
      <c r="Q48" s="3860"/>
      <c r="R48" s="3861">
        <f>E48</f>
        <v>0</v>
      </c>
      <c r="S48" s="3861"/>
      <c r="T48" s="3861">
        <f>G48</f>
        <v>0</v>
      </c>
      <c r="U48" s="3861"/>
      <c r="V48" s="3861">
        <f>I48</f>
        <v>0</v>
      </c>
      <c r="W48" s="3861"/>
      <c r="X48" s="396"/>
      <c r="Y48" s="710"/>
      <c r="Z48" s="396"/>
      <c r="AA48" s="396"/>
      <c r="AB48" s="396"/>
      <c r="AC48" s="577"/>
    </row>
    <row r="49" spans="1:29" ht="15" thickBot="1">
      <c r="A49" s="436" t="s">
        <v>1789</v>
      </c>
      <c r="B49" s="437"/>
      <c r="C49" s="1156" t="e">
        <f>R50</f>
        <v>#DIV/0!</v>
      </c>
      <c r="D49" s="2313" t="s">
        <v>2134</v>
      </c>
      <c r="E49" s="1157" t="e">
        <f>R49</f>
        <v>#DIV/0!</v>
      </c>
      <c r="F49" s="2314"/>
      <c r="G49" s="1156" t="e">
        <f>T49</f>
        <v>#DIV/0!</v>
      </c>
      <c r="H49" s="2314"/>
      <c r="I49" s="1157" t="e">
        <f>V49</f>
        <v>#DIV/0!</v>
      </c>
      <c r="J49" s="2314"/>
      <c r="K49" s="2316">
        <f>F49+H49+J49</f>
        <v>0</v>
      </c>
      <c r="L49" s="2720"/>
      <c r="M49" s="2712"/>
      <c r="N49" s="2712"/>
      <c r="O49" s="2712"/>
      <c r="P49" s="3842" t="str">
        <f>A49</f>
        <v>比较价值（元/平方米）</v>
      </c>
      <c r="Q49" s="3860"/>
      <c r="R49" s="3861" t="e">
        <f>IF(F1="售价",ROUND(PRODUCT(R48,AA7:AA47),0),ROUND(PRODUCT(R48,AA7:AA47),1))</f>
        <v>#DIV/0!</v>
      </c>
      <c r="S49" s="3861"/>
      <c r="T49" s="3861" t="e">
        <f>IF(F1="售价",ROUND(PRODUCT(T48,AB7:AB47),0),ROUND(PRODUCT(T48,AB7:AB47),1))</f>
        <v>#DIV/0!</v>
      </c>
      <c r="U49" s="3861"/>
      <c r="V49" s="3861" t="e">
        <f>IF(F1="售价",ROUND(PRODUCT(V48,AC7:AC47),0),ROUND(PRODUCT(V48,AC7:AC47),1))</f>
        <v>#DIV/0!</v>
      </c>
      <c r="W49" s="3861"/>
      <c r="X49" s="396"/>
      <c r="Y49" s="396"/>
      <c r="Z49" s="396"/>
      <c r="AA49" s="396"/>
      <c r="AB49" s="396"/>
      <c r="AC49" s="577"/>
    </row>
    <row r="50" spans="1:29" ht="15" thickBot="1">
      <c r="A50" s="440" t="s">
        <v>1790</v>
      </c>
      <c r="B50" s="441"/>
      <c r="C50" s="1159" t="e">
        <f>R50</f>
        <v>#DIV/0!</v>
      </c>
      <c r="D50" s="1159"/>
      <c r="E50" s="1159"/>
      <c r="F50" s="1159"/>
      <c r="G50" s="1159"/>
      <c r="H50" s="1159"/>
      <c r="I50" s="1159"/>
      <c r="J50" s="442"/>
      <c r="K50" s="713"/>
      <c r="L50" s="2720"/>
      <c r="M50" s="2712"/>
      <c r="N50" s="2712"/>
      <c r="O50" s="2712"/>
      <c r="P50" s="3883" t="str">
        <f>A50</f>
        <v>估价对象XX用房的比较价值（楼面单价，元/平方米）</v>
      </c>
      <c r="Q50" s="3884"/>
      <c r="R50" s="3885" t="e">
        <f>IF(F1="售价",ROUND(IF(D49="简单平均",AVERAGE(R49:V49),R49*F49+T49*H49+V49*J49),0),ROUND(IF(D49="简单平均",AVERAGE(R49:V49),R49*F49+T49*H49+V49*J49),1))</f>
        <v>#DIV/0!</v>
      </c>
      <c r="S50" s="3885"/>
      <c r="T50" s="3885"/>
      <c r="U50" s="3885"/>
      <c r="V50" s="3885"/>
      <c r="W50" s="3885"/>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1791</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1792</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1793</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2" t="s">
        <v>1794</v>
      </c>
      <c r="B58" s="688"/>
      <c r="C58" s="693"/>
      <c r="D58" s="693"/>
      <c r="E58" s="693"/>
      <c r="F58" s="694"/>
      <c r="G58" s="694"/>
      <c r="H58" s="693"/>
      <c r="I58" s="693"/>
      <c r="J58" s="693"/>
      <c r="K58" s="695"/>
      <c r="L58" s="938"/>
      <c r="M58" s="936"/>
      <c r="N58" s="2765"/>
      <c r="O58" s="2765"/>
      <c r="P58" s="2754"/>
      <c r="Q58" s="2735"/>
      <c r="R58" s="2721"/>
      <c r="S58" s="2721"/>
      <c r="T58" s="2721"/>
      <c r="U58" s="2721"/>
      <c r="V58" s="2721"/>
      <c r="W58" s="2721"/>
      <c r="X58" s="2721"/>
      <c r="Y58" s="2721"/>
      <c r="Z58" s="2721"/>
      <c r="AA58" s="2721"/>
      <c r="AB58" s="2721"/>
      <c r="AC58" s="2721"/>
    </row>
    <row r="59" spans="1:29" s="456" customFormat="1" ht="14.4">
      <c r="A59" s="453" t="s">
        <v>1675</v>
      </c>
      <c r="B59" s="454"/>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55"/>
      <c r="Q59" s="2737"/>
      <c r="R59" s="2737"/>
      <c r="S59" s="2737"/>
      <c r="T59" s="2737"/>
      <c r="U59" s="2737"/>
      <c r="V59" s="2737"/>
      <c r="W59" s="2737"/>
      <c r="X59" s="2737"/>
      <c r="Y59" s="2737"/>
      <c r="Z59" s="2737"/>
      <c r="AA59" s="2737"/>
      <c r="AB59" s="2737"/>
      <c r="AC59" s="2737"/>
    </row>
    <row r="60" spans="1:29" s="108" customFormat="1">
      <c r="A60" s="457"/>
      <c r="B60" s="458"/>
      <c r="C60" s="1179">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 thickBot="1">
      <c r="A61" s="463" t="s">
        <v>1712</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4.4">
      <c r="A62" s="469" t="s">
        <v>1677</v>
      </c>
      <c r="B62" s="458"/>
      <c r="C62" s="470" t="s">
        <v>1772</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4.4"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ht="14.4">
      <c r="A64" s="475" t="s">
        <v>1715</v>
      </c>
      <c r="B64" s="476" t="s">
        <v>1681</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4.4"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9.4" thickTop="1">
      <c r="A66" s="482"/>
      <c r="B66" s="486" t="s">
        <v>1684</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4.4"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 thickTop="1">
      <c r="A68" s="482"/>
      <c r="B68" s="494" t="s">
        <v>1685</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4.4"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4.4"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4.4"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4.4"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4.4"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4.4"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4.4">
      <c r="A77" s="475" t="s">
        <v>1686</v>
      </c>
      <c r="B77" s="476" t="s">
        <v>1817</v>
      </c>
      <c r="C77" s="521" t="s">
        <v>1717</v>
      </c>
      <c r="D77" s="521" t="s">
        <v>1718</v>
      </c>
      <c r="E77" s="521" t="s">
        <v>1719</v>
      </c>
      <c r="F77" s="521" t="s">
        <v>1720</v>
      </c>
      <c r="G77" s="521" t="s">
        <v>1721</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4.4"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 thickTop="1">
      <c r="A79" s="482"/>
      <c r="B79" s="486" t="s">
        <v>1722</v>
      </c>
      <c r="C79" s="526" t="s">
        <v>1717</v>
      </c>
      <c r="D79" s="526" t="s">
        <v>1718</v>
      </c>
      <c r="E79" s="526" t="s">
        <v>1719</v>
      </c>
      <c r="F79" s="526" t="s">
        <v>1720</v>
      </c>
      <c r="G79" s="526" t="s">
        <v>1721</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 thickTop="1">
      <c r="A81" s="482"/>
      <c r="B81" s="486" t="s">
        <v>1723</v>
      </c>
      <c r="C81" s="526" t="s">
        <v>1717</v>
      </c>
      <c r="D81" s="526" t="s">
        <v>1718</v>
      </c>
      <c r="E81" s="526" t="s">
        <v>1719</v>
      </c>
      <c r="F81" s="526" t="s">
        <v>1720</v>
      </c>
      <c r="G81" s="526" t="s">
        <v>1721</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4.4"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 thickTop="1">
      <c r="A83" s="482"/>
      <c r="B83" s="494" t="s">
        <v>1809</v>
      </c>
      <c r="C83" s="607" t="s">
        <v>1795</v>
      </c>
      <c r="D83" s="607" t="s">
        <v>1796</v>
      </c>
      <c r="E83" s="607" t="s">
        <v>1797</v>
      </c>
      <c r="F83" s="607" t="s">
        <v>1798</v>
      </c>
      <c r="G83" s="607" t="s">
        <v>1799</v>
      </c>
      <c r="H83" s="487"/>
      <c r="I83" s="487"/>
      <c r="J83" s="487"/>
      <c r="K83" s="487"/>
      <c r="L83" s="487"/>
      <c r="M83" s="1125"/>
      <c r="N83" s="2750"/>
      <c r="O83" s="2750"/>
      <c r="P83" s="2758"/>
      <c r="Q83" s="2735"/>
      <c r="R83" s="2721"/>
      <c r="S83" s="2721"/>
      <c r="T83" s="2721"/>
      <c r="U83" s="2721"/>
      <c r="V83" s="2721"/>
      <c r="W83" s="2721"/>
      <c r="X83" s="2721"/>
      <c r="Y83" s="2721"/>
      <c r="Z83" s="2721"/>
      <c r="AA83" s="2721"/>
      <c r="AB83" s="2721"/>
      <c r="AC83" s="2721"/>
    </row>
    <row r="84" spans="1:29" ht="14.4"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 thickTop="1">
      <c r="A85" s="482"/>
      <c r="B85" s="486" t="s">
        <v>1818</v>
      </c>
      <c r="C85" s="526" t="s">
        <v>1717</v>
      </c>
      <c r="D85" s="526" t="s">
        <v>1718</v>
      </c>
      <c r="E85" s="526" t="s">
        <v>1719</v>
      </c>
      <c r="F85" s="526" t="s">
        <v>1720</v>
      </c>
      <c r="G85" s="526" t="s">
        <v>1721</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4.4"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9.4" thickTop="1">
      <c r="A87" s="527"/>
      <c r="B87" s="486" t="s">
        <v>1819</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4.4"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4.4" thickTop="1">
      <c r="A89" s="527"/>
      <c r="B89" s="486" t="str">
        <f>B27</f>
        <v>楼层</v>
      </c>
      <c r="C89" s="502"/>
      <c r="D89" s="502"/>
      <c r="E89" s="502"/>
      <c r="F89" s="1923"/>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4.4"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4.4"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4.4"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4.4"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4.4"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4.4"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4.4"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4.4"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4.4" thickBot="1">
      <c r="A100" s="1924"/>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ht="14.4">
      <c r="A101" s="475" t="s">
        <v>1690</v>
      </c>
      <c r="B101" s="476" t="s">
        <v>1732</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2"/>
      <c r="B103" s="486" t="s">
        <v>1733</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4.4"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1734</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4.4"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1736</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4.4"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1186</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4.4"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1820</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4.4"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1737</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4.4"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1738</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4.4"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1821</v>
      </c>
      <c r="C119" s="531"/>
      <c r="D119" s="531"/>
      <c r="E119" s="531"/>
      <c r="F119" s="531"/>
      <c r="G119" s="531"/>
      <c r="H119" s="531"/>
      <c r="I119" s="531"/>
      <c r="J119" s="531"/>
      <c r="K119" s="531"/>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4.4"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1804</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4.4"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1740</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4.4"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7"/>
      <c r="B125" s="486" t="s">
        <v>1741</v>
      </c>
      <c r="C125" s="526" t="s">
        <v>1717</v>
      </c>
      <c r="D125" s="526" t="s">
        <v>1718</v>
      </c>
      <c r="E125" s="526" t="s">
        <v>1719</v>
      </c>
      <c r="F125" s="526" t="s">
        <v>1720</v>
      </c>
      <c r="G125" s="526" t="s">
        <v>1721</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4.4"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4.4"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4.4"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4.4"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4.4"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4.4"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4.4" thickBot="1">
      <c r="A132" s="1924"/>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904</v>
      </c>
      <c r="B1" s="1487"/>
      <c r="C1" s="1487"/>
      <c r="D1" s="1487"/>
      <c r="E1" s="1487"/>
    </row>
    <row r="2" spans="1:5" ht="78" customHeight="1">
      <c r="A2" s="35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9"/>
      <c r="C2" s="3599"/>
      <c r="D2" s="3599"/>
      <c r="E2" s="3599"/>
    </row>
    <row r="3" spans="1:5" ht="17.399999999999999">
      <c r="A3" s="3600" t="str">
        <f>IF(项目基本情况!B9="房地产市场价值","估价结果一览表（市场价值不需“结果表-1”）","估价结果一览表")</f>
        <v>估价结果一览表</v>
      </c>
      <c r="B3" s="3600"/>
      <c r="C3" s="3600"/>
      <c r="D3" s="3600"/>
      <c r="E3" s="3600"/>
    </row>
    <row r="4" spans="1:5" ht="18" thickBot="1">
      <c r="A4" s="1489"/>
      <c r="B4" s="3598" t="s">
        <v>913</v>
      </c>
      <c r="C4" s="3598"/>
      <c r="D4" s="3598"/>
      <c r="E4" s="1489"/>
    </row>
    <row r="5" spans="1:5" ht="16.2" thickTop="1">
      <c r="A5" s="1487"/>
      <c r="B5" s="3596" t="s">
        <v>905</v>
      </c>
      <c r="C5" s="1490" t="s">
        <v>906</v>
      </c>
      <c r="D5" s="846">
        <f ca="1">结果表!H101</f>
        <v>81210</v>
      </c>
      <c r="E5" s="1487"/>
    </row>
    <row r="6" spans="1:5" ht="15.6">
      <c r="A6" s="1487"/>
      <c r="B6" s="3596"/>
      <c r="C6" s="1490" t="s">
        <v>907</v>
      </c>
      <c r="D6" s="846" t="str">
        <f ca="1">NUMBERSTRING(INT(D5*10000),2)&amp;"元整"</f>
        <v>捌亿壹仟贰佰壹拾万元整</v>
      </c>
      <c r="E6" s="1487"/>
    </row>
    <row r="7" spans="1:5" ht="15.6">
      <c r="A7" s="1487"/>
      <c r="B7" s="3601"/>
      <c r="C7" s="1491" t="s">
        <v>908</v>
      </c>
      <c r="D7" s="847">
        <f ca="1">结果表!H102</f>
        <v>40953</v>
      </c>
      <c r="E7" s="1487"/>
    </row>
    <row r="8" spans="1:5" ht="15.6">
      <c r="A8" s="1487"/>
      <c r="B8" s="3602" t="str">
        <f>结果表!E103</f>
        <v>2.估价师知悉的法定优先受偿款</v>
      </c>
      <c r="C8" s="1492" t="s">
        <v>909</v>
      </c>
      <c r="D8" s="847">
        <f>结果表!H103</f>
        <v>0</v>
      </c>
      <c r="E8" s="1487"/>
    </row>
    <row r="9" spans="1:5" ht="15.6">
      <c r="A9" s="1487"/>
      <c r="B9" s="3604"/>
      <c r="C9" s="1490" t="s">
        <v>907</v>
      </c>
      <c r="D9" s="846" t="str">
        <f>NUMBERSTRING(INT(D8*10000),2)&amp;"元整"</f>
        <v>零元整</v>
      </c>
      <c r="E9" s="1487"/>
    </row>
    <row r="10" spans="1:5" ht="15.6">
      <c r="A10" s="1487"/>
      <c r="B10" s="1493" t="s">
        <v>912</v>
      </c>
      <c r="C10" s="1494" t="s">
        <v>910</v>
      </c>
      <c r="D10" s="848">
        <f>结果表!H104</f>
        <v>0</v>
      </c>
      <c r="E10" s="1487"/>
    </row>
    <row r="11" spans="1:5" ht="15.6">
      <c r="A11" s="1487"/>
      <c r="B11" s="1493" t="s">
        <v>914</v>
      </c>
      <c r="C11" s="1494" t="s">
        <v>915</v>
      </c>
      <c r="D11" s="848">
        <f>结果表!H105</f>
        <v>0</v>
      </c>
      <c r="E11" s="1487"/>
    </row>
    <row r="12" spans="1:5" ht="15.6">
      <c r="A12" s="1487"/>
      <c r="B12" s="1493" t="s">
        <v>916</v>
      </c>
      <c r="C12" s="1494" t="s">
        <v>915</v>
      </c>
      <c r="D12" s="848">
        <f>结果表!H106</f>
        <v>0</v>
      </c>
      <c r="E12" s="1487"/>
    </row>
    <row r="13" spans="1:5" ht="15.6">
      <c r="A13" s="1487"/>
      <c r="B13" s="3595" t="str">
        <f>结果表!E107</f>
        <v>3.房地产抵押价值</v>
      </c>
      <c r="C13" s="1495" t="s">
        <v>906</v>
      </c>
      <c r="D13" s="849">
        <f ca="1">结果表!H107</f>
        <v>81210</v>
      </c>
      <c r="E13" s="1487"/>
    </row>
    <row r="14" spans="1:5" ht="15.6">
      <c r="A14" s="1487"/>
      <c r="B14" s="3596"/>
      <c r="C14" s="1490" t="s">
        <v>907</v>
      </c>
      <c r="D14" s="846" t="str">
        <f ca="1">NUMBERSTRING(INT(D13*10000),2)&amp;"元整"</f>
        <v>捌亿壹仟贰佰壹拾万元整</v>
      </c>
      <c r="E14" s="1487"/>
    </row>
    <row r="15" spans="1:5" ht="15.6">
      <c r="A15" s="1487"/>
      <c r="B15" s="3601"/>
      <c r="C15" s="1491" t="s">
        <v>917</v>
      </c>
      <c r="D15" s="855">
        <f ca="1">结果表!H108</f>
        <v>40953</v>
      </c>
      <c r="E15" s="1487"/>
    </row>
    <row r="16" spans="1:5" ht="15.6">
      <c r="A16" s="1487"/>
      <c r="B16" s="3602" t="str">
        <f>结果表!E109</f>
        <v>——</v>
      </c>
      <c r="C16" s="1495" t="s">
        <v>918</v>
      </c>
      <c r="D16" s="1496" t="str">
        <f>结果表!H109</f>
        <v>——</v>
      </c>
      <c r="E16" s="1487"/>
    </row>
    <row r="17" spans="1:5" ht="15.6">
      <c r="A17" s="1487"/>
      <c r="B17" s="3603"/>
      <c r="C17" s="1490" t="s">
        <v>919</v>
      </c>
      <c r="D17" s="846" t="e">
        <f>NUMBERSTRING(INT(D16*10000),2)&amp;"元整"</f>
        <v>#VALUE!</v>
      </c>
      <c r="E17" s="1487"/>
    </row>
    <row r="18" spans="1:5" ht="15.6">
      <c r="A18" s="1487"/>
      <c r="B18" s="3604"/>
      <c r="C18" s="1491" t="s">
        <v>908</v>
      </c>
      <c r="D18" s="855" t="str">
        <f>结果表!H110</f>
        <v>——</v>
      </c>
      <c r="E18" s="1487"/>
    </row>
    <row r="19" spans="1:5" ht="15.6">
      <c r="A19" s="1487"/>
      <c r="B19" s="3595" t="str">
        <f>结果表!E111</f>
        <v>——</v>
      </c>
      <c r="C19" s="1495" t="s">
        <v>906</v>
      </c>
      <c r="D19" s="847" t="str">
        <f>结果表!H111</f>
        <v>——</v>
      </c>
      <c r="E19" s="1487"/>
    </row>
    <row r="20" spans="1:5" ht="15.6">
      <c r="A20" s="1487"/>
      <c r="B20" s="3596"/>
      <c r="C20" s="1490" t="s">
        <v>919</v>
      </c>
      <c r="D20" s="846" t="e">
        <f>NUMBERSTRING(INT(D19*10000),2)&amp;"元整"</f>
        <v>#VALUE!</v>
      </c>
      <c r="E20" s="1487"/>
    </row>
    <row r="21" spans="1:5" ht="16.2" thickBot="1">
      <c r="A21" s="1487"/>
      <c r="B21" s="3597"/>
      <c r="C21" s="1497" t="s">
        <v>917</v>
      </c>
      <c r="D21" s="856" t="str">
        <f>结果表!H112</f>
        <v>——</v>
      </c>
      <c r="E21" s="1487"/>
    </row>
    <row r="22" spans="1:5" ht="14.4" thickTop="1">
      <c r="A22" s="1487"/>
      <c r="B22" s="1498" t="s">
        <v>920</v>
      </c>
      <c r="C22" s="1487"/>
      <c r="D22" s="1487"/>
      <c r="E22" s="1487"/>
    </row>
    <row r="23" spans="1:5">
      <c r="A23" s="1487"/>
      <c r="B23" s="1487"/>
      <c r="C23" s="1487"/>
      <c r="D23" s="1487"/>
      <c r="E23" s="1487"/>
    </row>
    <row r="24" spans="1:5" ht="17.399999999999999">
      <c r="A24" s="1499"/>
      <c r="B24" s="1500" t="s">
        <v>911</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1656</v>
      </c>
      <c r="B1" s="1953" t="s">
        <v>1822</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1" customFormat="1" ht="28.5" customHeight="1" thickBot="1">
      <c r="A3" s="202" t="s">
        <v>1460</v>
      </c>
      <c r="B3" s="557">
        <f>IF(C2="——",C43,ROUND(B2*10000/D3,0))</f>
        <v>0</v>
      </c>
      <c r="C3" s="353" t="s">
        <v>1764</v>
      </c>
      <c r="D3" s="352">
        <f>IF(D1="",'数据-汇总表'!E3,SUMIF('数据-汇总表'!$C19:$C33,D1,'数据-汇总表'!$E19:$E33))</f>
        <v>99232.329999999987</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4.4">
      <c r="A4" s="354" t="s">
        <v>1765</v>
      </c>
      <c r="B4" s="355"/>
      <c r="C4" s="3843" t="s">
        <v>1766</v>
      </c>
      <c r="D4" s="3844"/>
      <c r="E4" s="3845" t="s">
        <v>1767</v>
      </c>
      <c r="F4" s="3846"/>
      <c r="G4" s="3843" t="s">
        <v>1768</v>
      </c>
      <c r="H4" s="3844"/>
      <c r="I4" s="3843" t="s">
        <v>1769</v>
      </c>
      <c r="J4" s="3844"/>
      <c r="K4" s="558" t="s">
        <v>1770</v>
      </c>
      <c r="L4" s="909"/>
      <c r="M4" s="910"/>
      <c r="N4" s="910"/>
      <c r="O4" s="910"/>
      <c r="P4" s="3847" t="s">
        <v>1771</v>
      </c>
      <c r="Q4" s="3848"/>
      <c r="R4" s="3830" t="s">
        <v>1767</v>
      </c>
      <c r="S4" s="3831"/>
      <c r="T4" s="3830" t="s">
        <v>1768</v>
      </c>
      <c r="U4" s="3831"/>
      <c r="V4" s="3855" t="s">
        <v>1769</v>
      </c>
      <c r="W4" s="3855"/>
      <c r="X4" s="1351"/>
      <c r="Y4" s="3830" t="s">
        <v>1771</v>
      </c>
      <c r="Z4" s="3831"/>
      <c r="AA4" s="3825" t="s">
        <v>1767</v>
      </c>
      <c r="AB4" s="3826" t="s">
        <v>1768</v>
      </c>
      <c r="AC4" s="3825" t="s">
        <v>1769</v>
      </c>
    </row>
    <row r="5" spans="1:29">
      <c r="A5" s="357"/>
      <c r="B5" s="358"/>
      <c r="C5" s="3836" t="s">
        <v>1669</v>
      </c>
      <c r="D5" s="3837"/>
      <c r="E5" s="3834" t="s">
        <v>1670</v>
      </c>
      <c r="F5" s="3835"/>
      <c r="G5" s="3836" t="s">
        <v>1671</v>
      </c>
      <c r="H5" s="3837"/>
      <c r="I5" s="3836" t="s">
        <v>1672</v>
      </c>
      <c r="J5" s="3837"/>
      <c r="K5" s="558"/>
      <c r="L5" s="909"/>
      <c r="M5" s="910"/>
      <c r="N5" s="910"/>
      <c r="O5" s="910"/>
      <c r="P5" s="3849"/>
      <c r="Q5" s="3850"/>
      <c r="R5" s="3832"/>
      <c r="S5" s="3833"/>
      <c r="T5" s="3832"/>
      <c r="U5" s="3833"/>
      <c r="V5" s="3855"/>
      <c r="W5" s="3855"/>
      <c r="X5" s="1351"/>
      <c r="Y5" s="3832"/>
      <c r="Z5" s="3833"/>
      <c r="AA5" s="3826"/>
      <c r="AB5" s="3826"/>
      <c r="AC5" s="3826"/>
    </row>
    <row r="6" spans="1:29" ht="15" thickBot="1">
      <c r="A6" s="359"/>
      <c r="B6" s="360"/>
      <c r="C6" s="3838" t="s">
        <v>1673</v>
      </c>
      <c r="D6" s="3839"/>
      <c r="E6" s="3840" t="s">
        <v>1673</v>
      </c>
      <c r="F6" s="3841"/>
      <c r="G6" s="3838" t="s">
        <v>1673</v>
      </c>
      <c r="H6" s="3839"/>
      <c r="I6" s="3838" t="s">
        <v>1673</v>
      </c>
      <c r="J6" s="3839"/>
      <c r="K6" s="558" t="s">
        <v>1674</v>
      </c>
      <c r="L6" s="909"/>
      <c r="M6" s="910"/>
      <c r="N6" s="910"/>
      <c r="O6" s="910"/>
      <c r="P6" s="3851"/>
      <c r="Q6" s="3852"/>
      <c r="R6" s="3832"/>
      <c r="S6" s="3833"/>
      <c r="T6" s="3853"/>
      <c r="U6" s="3854"/>
      <c r="V6" s="3855"/>
      <c r="W6" s="3855"/>
      <c r="X6" s="1351"/>
      <c r="Y6" s="3853"/>
      <c r="Z6" s="3854"/>
      <c r="AA6" s="3827"/>
      <c r="AB6" s="3827"/>
      <c r="AC6" s="3827"/>
    </row>
    <row r="7" spans="1:29" s="108" customFormat="1" ht="15" thickBot="1">
      <c r="A7" s="361" t="s">
        <v>1675</v>
      </c>
      <c r="B7" s="362"/>
      <c r="C7" s="363">
        <f>'数据-取费表'!B2</f>
        <v>45086</v>
      </c>
      <c r="D7" s="364">
        <v>100</v>
      </c>
      <c r="E7" s="365"/>
      <c r="F7" s="366">
        <f>SUMIF(52:52,YEAR(E7)&amp;"-"&amp;MONTH(E7),53:53)</f>
        <v>0</v>
      </c>
      <c r="G7" s="365"/>
      <c r="H7" s="364">
        <f>SUMIF(52:52,YEAR(G7)&amp;"-"&amp;MONTH(G7),53:53)</f>
        <v>0</v>
      </c>
      <c r="I7" s="365"/>
      <c r="J7" s="364">
        <f>SUMIF(52:52,YEAR(I7)&amp;"-"&amp;MONTH(I7),53:53)</f>
        <v>0</v>
      </c>
      <c r="K7" s="559"/>
      <c r="L7" s="911"/>
      <c r="M7" s="912"/>
      <c r="N7" s="912"/>
      <c r="O7" s="912"/>
      <c r="P7" s="3828" t="s">
        <v>1676</v>
      </c>
      <c r="Q7" s="3856"/>
      <c r="R7" s="699" t="s">
        <v>14</v>
      </c>
      <c r="S7" s="700">
        <f t="shared" ref="S7:S15" si="0">F7</f>
        <v>0</v>
      </c>
      <c r="T7" s="699" t="s">
        <v>14</v>
      </c>
      <c r="U7" s="700">
        <f t="shared" ref="U7:U15" si="1">H7</f>
        <v>0</v>
      </c>
      <c r="V7" s="699" t="s">
        <v>14</v>
      </c>
      <c r="W7" s="700">
        <f t="shared" ref="W7:W15" si="2">J7</f>
        <v>0</v>
      </c>
      <c r="X7" s="701"/>
      <c r="Y7" s="3828" t="s">
        <v>1676</v>
      </c>
      <c r="Z7" s="3829"/>
      <c r="AA7" s="702" t="e">
        <f>D7/F7</f>
        <v>#DIV/0!</v>
      </c>
      <c r="AB7" s="702" t="e">
        <f>D7/H7</f>
        <v>#DIV/0!</v>
      </c>
      <c r="AC7" s="702" t="e">
        <f>D7/J7</f>
        <v>#DIV/0!</v>
      </c>
    </row>
    <row r="8" spans="1:29" s="108" customFormat="1" ht="15" thickBot="1">
      <c r="A8" s="361" t="s">
        <v>1677</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828" t="s">
        <v>1679</v>
      </c>
      <c r="Q8" s="3829"/>
      <c r="R8" s="699" t="s">
        <v>14</v>
      </c>
      <c r="S8" s="700">
        <f t="shared" si="0"/>
        <v>100</v>
      </c>
      <c r="T8" s="699" t="s">
        <v>14</v>
      </c>
      <c r="U8" s="700">
        <f t="shared" si="1"/>
        <v>100</v>
      </c>
      <c r="V8" s="699" t="s">
        <v>14</v>
      </c>
      <c r="W8" s="700">
        <f t="shared" si="2"/>
        <v>100</v>
      </c>
      <c r="X8" s="701"/>
      <c r="Y8" s="3828" t="s">
        <v>1679</v>
      </c>
      <c r="Z8" s="3829"/>
      <c r="AA8" s="702">
        <f t="shared" ref="AA8:AA40" si="3">D8/F8</f>
        <v>1</v>
      </c>
      <c r="AB8" s="702">
        <f t="shared" ref="AB8:AB40" si="4">D8/H8</f>
        <v>1</v>
      </c>
      <c r="AC8" s="702">
        <f t="shared" ref="AC8:AC40" si="5">D8/J8</f>
        <v>1</v>
      </c>
    </row>
    <row r="9" spans="1:29" s="108" customFormat="1" ht="14.4">
      <c r="A9" s="368" t="s">
        <v>1680</v>
      </c>
      <c r="B9" s="63" t="s">
        <v>1681</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3860" t="s">
        <v>1682</v>
      </c>
      <c r="Q9" s="1339" t="str">
        <f t="shared" ref="Q9:Q15" si="6">B9</f>
        <v>用途</v>
      </c>
      <c r="R9" s="699" t="s">
        <v>14</v>
      </c>
      <c r="S9" s="700">
        <f t="shared" si="0"/>
        <v>100</v>
      </c>
      <c r="T9" s="699" t="s">
        <v>14</v>
      </c>
      <c r="U9" s="700">
        <f t="shared" si="1"/>
        <v>100</v>
      </c>
      <c r="V9" s="699" t="s">
        <v>14</v>
      </c>
      <c r="W9" s="700">
        <f t="shared" si="2"/>
        <v>100</v>
      </c>
      <c r="X9" s="701"/>
      <c r="Y9" s="3753" t="s">
        <v>1683</v>
      </c>
      <c r="Z9" s="52" t="str">
        <f t="shared" ref="Z9:Z15" si="7">Q9</f>
        <v>用途</v>
      </c>
      <c r="AA9" s="702">
        <f t="shared" si="3"/>
        <v>1</v>
      </c>
      <c r="AB9" s="702">
        <f t="shared" si="4"/>
        <v>1</v>
      </c>
      <c r="AC9" s="702">
        <f t="shared" si="5"/>
        <v>1</v>
      </c>
    </row>
    <row r="10" spans="1:29" s="377" customFormat="1" ht="28.8">
      <c r="A10" s="373"/>
      <c r="B10" s="374" t="s">
        <v>1684</v>
      </c>
      <c r="C10" s="3430"/>
      <c r="D10" s="126">
        <v>100</v>
      </c>
      <c r="E10" s="3430"/>
      <c r="F10" s="126">
        <f>SUMIF(59:59,E10,60:60)-SUMIF(59:59,C10,60:60)+100</f>
        <v>100</v>
      </c>
      <c r="G10" s="3431"/>
      <c r="H10" s="126">
        <f>SUMIF(59:59,G10,60:60)-SUMIF(59:59,C10,60:60)+100</f>
        <v>100</v>
      </c>
      <c r="I10" s="3430"/>
      <c r="J10" s="126">
        <f>SUMIF(59:59,I10,60:60)-SUMIF(59:59,C10,60:60)+100</f>
        <v>100</v>
      </c>
      <c r="K10" s="559"/>
      <c r="L10" s="914"/>
      <c r="M10" s="915"/>
      <c r="N10" s="915"/>
      <c r="O10" s="916"/>
      <c r="P10" s="3860"/>
      <c r="Q10" s="1339" t="str">
        <f t="shared" si="6"/>
        <v>土地使用年限（年）</v>
      </c>
      <c r="R10" s="699" t="s">
        <v>14</v>
      </c>
      <c r="S10" s="700">
        <f t="shared" si="0"/>
        <v>100</v>
      </c>
      <c r="T10" s="699" t="s">
        <v>14</v>
      </c>
      <c r="U10" s="700">
        <f t="shared" si="1"/>
        <v>100</v>
      </c>
      <c r="V10" s="699" t="s">
        <v>14</v>
      </c>
      <c r="W10" s="700">
        <f t="shared" si="2"/>
        <v>100</v>
      </c>
      <c r="X10" s="701"/>
      <c r="Y10" s="3753"/>
      <c r="Z10" s="52" t="str">
        <f t="shared" si="7"/>
        <v>土地使用年限（年）</v>
      </c>
      <c r="AA10" s="702">
        <f t="shared" si="3"/>
        <v>1</v>
      </c>
      <c r="AB10" s="702">
        <f t="shared" si="4"/>
        <v>1</v>
      </c>
      <c r="AC10" s="702">
        <f t="shared" si="5"/>
        <v>1</v>
      </c>
    </row>
    <row r="11" spans="1:29" ht="15">
      <c r="A11" s="378"/>
      <c r="B11" s="374" t="s">
        <v>1685</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860"/>
      <c r="Q11" s="1339" t="str">
        <f t="shared" si="6"/>
        <v>容积率</v>
      </c>
      <c r="R11" s="699" t="s">
        <v>14</v>
      </c>
      <c r="S11" s="700">
        <f t="shared" si="0"/>
        <v>100</v>
      </c>
      <c r="T11" s="699" t="s">
        <v>14</v>
      </c>
      <c r="U11" s="700">
        <f t="shared" si="1"/>
        <v>100</v>
      </c>
      <c r="V11" s="699" t="s">
        <v>14</v>
      </c>
      <c r="W11" s="700">
        <f t="shared" si="2"/>
        <v>100</v>
      </c>
      <c r="X11" s="701"/>
      <c r="Y11" s="3753"/>
      <c r="Z11" s="52" t="str">
        <f t="shared" si="7"/>
        <v>容积率</v>
      </c>
      <c r="AA11" s="702">
        <f t="shared" si="3"/>
        <v>1</v>
      </c>
      <c r="AB11" s="702">
        <f t="shared" si="4"/>
        <v>1</v>
      </c>
      <c r="AC11" s="702">
        <f t="shared" si="5"/>
        <v>1</v>
      </c>
    </row>
    <row r="12" spans="1:29" s="108"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1"/>
      <c r="M12" s="912"/>
      <c r="N12" s="912"/>
      <c r="O12" s="913"/>
      <c r="P12" s="3860"/>
      <c r="Q12" s="1339">
        <f t="shared" si="6"/>
        <v>111</v>
      </c>
      <c r="R12" s="699" t="s">
        <v>14</v>
      </c>
      <c r="S12" s="700">
        <f t="shared" si="0"/>
        <v>100</v>
      </c>
      <c r="T12" s="699" t="s">
        <v>14</v>
      </c>
      <c r="U12" s="700">
        <f t="shared" si="1"/>
        <v>100</v>
      </c>
      <c r="V12" s="699" t="s">
        <v>14</v>
      </c>
      <c r="W12" s="700">
        <f t="shared" si="2"/>
        <v>100</v>
      </c>
      <c r="X12" s="701"/>
      <c r="Y12" s="3753"/>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19"/>
      <c r="M13" s="910"/>
      <c r="N13" s="910"/>
      <c r="O13" s="918"/>
      <c r="P13" s="3860"/>
      <c r="Q13" s="1339">
        <f t="shared" si="6"/>
        <v>111</v>
      </c>
      <c r="R13" s="699" t="s">
        <v>14</v>
      </c>
      <c r="S13" s="700">
        <f t="shared" si="0"/>
        <v>100</v>
      </c>
      <c r="T13" s="699" t="s">
        <v>14</v>
      </c>
      <c r="U13" s="700">
        <f t="shared" si="1"/>
        <v>100</v>
      </c>
      <c r="V13" s="699" t="s">
        <v>14</v>
      </c>
      <c r="W13" s="700">
        <f t="shared" si="2"/>
        <v>100</v>
      </c>
      <c r="X13" s="701"/>
      <c r="Y13" s="3753"/>
      <c r="Z13" s="52">
        <f t="shared" si="7"/>
        <v>111</v>
      </c>
      <c r="AA13" s="702">
        <f t="shared" si="3"/>
        <v>1</v>
      </c>
      <c r="AB13" s="702">
        <f t="shared" si="4"/>
        <v>1</v>
      </c>
      <c r="AC13" s="702">
        <f t="shared" si="5"/>
        <v>1</v>
      </c>
    </row>
    <row r="14" spans="1:29" ht="15.6"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19"/>
      <c r="M14" s="910"/>
      <c r="N14" s="910"/>
      <c r="O14" s="918"/>
      <c r="P14" s="3860"/>
      <c r="Q14" s="1339">
        <f t="shared" si="6"/>
        <v>111</v>
      </c>
      <c r="R14" s="699" t="s">
        <v>14</v>
      </c>
      <c r="S14" s="700">
        <f t="shared" si="0"/>
        <v>100</v>
      </c>
      <c r="T14" s="699" t="s">
        <v>14</v>
      </c>
      <c r="U14" s="700">
        <f t="shared" si="1"/>
        <v>100</v>
      </c>
      <c r="V14" s="699" t="s">
        <v>14</v>
      </c>
      <c r="W14" s="700">
        <f t="shared" si="2"/>
        <v>100</v>
      </c>
      <c r="X14" s="701"/>
      <c r="Y14" s="3753"/>
      <c r="Z14" s="52">
        <f t="shared" si="7"/>
        <v>111</v>
      </c>
      <c r="AA14" s="702">
        <f t="shared" si="3"/>
        <v>1</v>
      </c>
      <c r="AB14" s="702">
        <f t="shared" si="4"/>
        <v>1</v>
      </c>
      <c r="AC14" s="702">
        <f t="shared" si="5"/>
        <v>1</v>
      </c>
    </row>
    <row r="15" spans="1:29" ht="69">
      <c r="A15" s="390" t="s">
        <v>1686</v>
      </c>
      <c r="B15" s="61" t="s">
        <v>1823</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862" t="s">
        <v>1687</v>
      </c>
      <c r="Q15" s="1348" t="str">
        <f t="shared" si="6"/>
        <v>产业集聚程度</v>
      </c>
      <c r="R15" s="703" t="s">
        <v>14</v>
      </c>
      <c r="S15" s="704">
        <f t="shared" si="0"/>
        <v>100</v>
      </c>
      <c r="T15" s="703" t="s">
        <v>14</v>
      </c>
      <c r="U15" s="704">
        <f t="shared" si="1"/>
        <v>100</v>
      </c>
      <c r="V15" s="703" t="s">
        <v>14</v>
      </c>
      <c r="W15" s="704">
        <f t="shared" si="2"/>
        <v>100</v>
      </c>
      <c r="X15" s="1351"/>
      <c r="Y15" s="3862" t="s">
        <v>1687</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19"/>
      <c r="M16" s="910"/>
      <c r="N16" s="910"/>
      <c r="O16" s="918"/>
      <c r="P16" s="3863"/>
      <c r="Q16" s="1348"/>
      <c r="R16" s="703"/>
      <c r="S16" s="704"/>
      <c r="T16" s="703"/>
      <c r="U16" s="704"/>
      <c r="V16" s="703"/>
      <c r="W16" s="704"/>
      <c r="X16" s="1351"/>
      <c r="Y16" s="3863"/>
      <c r="Z16" s="1352"/>
      <c r="AA16" s="1349">
        <v>1</v>
      </c>
      <c r="AB16" s="1349">
        <v>1</v>
      </c>
      <c r="AC16" s="1349">
        <v>1</v>
      </c>
    </row>
    <row r="17" spans="1:29" ht="96.6">
      <c r="A17" s="378"/>
      <c r="B17" s="401" t="s">
        <v>1255</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863"/>
      <c r="Q17" s="1348" t="str">
        <f>B17</f>
        <v>交通便捷度</v>
      </c>
      <c r="R17" s="703" t="s">
        <v>14</v>
      </c>
      <c r="S17" s="704">
        <f>F17</f>
        <v>100</v>
      </c>
      <c r="T17" s="703" t="s">
        <v>14</v>
      </c>
      <c r="U17" s="704">
        <f>H17</f>
        <v>100</v>
      </c>
      <c r="V17" s="703" t="s">
        <v>14</v>
      </c>
      <c r="W17" s="704">
        <f>J17</f>
        <v>100</v>
      </c>
      <c r="X17" s="1351"/>
      <c r="Y17" s="3863"/>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19"/>
      <c r="M18" s="910"/>
      <c r="N18" s="910"/>
      <c r="O18" s="918"/>
      <c r="P18" s="3863"/>
      <c r="Q18" s="1348"/>
      <c r="R18" s="703"/>
      <c r="S18" s="704"/>
      <c r="T18" s="703"/>
      <c r="U18" s="704"/>
      <c r="V18" s="703"/>
      <c r="W18" s="704"/>
      <c r="X18" s="1351"/>
      <c r="Y18" s="3863"/>
      <c r="Z18" s="1352"/>
      <c r="AA18" s="1349">
        <v>1</v>
      </c>
      <c r="AB18" s="1349">
        <v>1</v>
      </c>
      <c r="AC18" s="1349">
        <v>1</v>
      </c>
    </row>
    <row r="19" spans="1:29" ht="41.4">
      <c r="A19" s="378"/>
      <c r="B19" s="401" t="s">
        <v>1808</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863"/>
      <c r="Q19" s="1348" t="str">
        <f>B19</f>
        <v>公共配套设施</v>
      </c>
      <c r="R19" s="703" t="s">
        <v>14</v>
      </c>
      <c r="S19" s="704">
        <f>F19</f>
        <v>100</v>
      </c>
      <c r="T19" s="703" t="s">
        <v>14</v>
      </c>
      <c r="U19" s="704">
        <f>H19</f>
        <v>100</v>
      </c>
      <c r="V19" s="703" t="s">
        <v>14</v>
      </c>
      <c r="W19" s="704">
        <f>J19</f>
        <v>100</v>
      </c>
      <c r="X19" s="1351"/>
      <c r="Y19" s="3863"/>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19"/>
      <c r="M20" s="910"/>
      <c r="N20" s="910"/>
      <c r="O20" s="918"/>
      <c r="P20" s="3863"/>
      <c r="Q20" s="1348"/>
      <c r="R20" s="703"/>
      <c r="S20" s="704"/>
      <c r="T20" s="703"/>
      <c r="U20" s="704"/>
      <c r="V20" s="703"/>
      <c r="W20" s="704"/>
      <c r="X20" s="1351"/>
      <c r="Y20" s="3863"/>
      <c r="Z20" s="1352"/>
      <c r="AA20" s="1349">
        <v>1</v>
      </c>
      <c r="AB20" s="1349">
        <v>1</v>
      </c>
      <c r="AC20" s="1349">
        <v>1</v>
      </c>
    </row>
    <row r="21" spans="1:29" ht="41.4">
      <c r="A21" s="378"/>
      <c r="B21" s="1127" t="s">
        <v>1809</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863"/>
      <c r="Q21" s="1348" t="str">
        <f>B21</f>
        <v>基础设施水平</v>
      </c>
      <c r="R21" s="703" t="s">
        <v>14</v>
      </c>
      <c r="S21" s="704">
        <f>F21</f>
        <v>100</v>
      </c>
      <c r="T21" s="703" t="s">
        <v>14</v>
      </c>
      <c r="U21" s="704">
        <f>H21</f>
        <v>100</v>
      </c>
      <c r="V21" s="703" t="s">
        <v>14</v>
      </c>
      <c r="W21" s="704">
        <f>J21</f>
        <v>100</v>
      </c>
      <c r="X21" s="1351"/>
      <c r="Y21" s="3863"/>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919"/>
      <c r="M22" s="910"/>
      <c r="N22" s="910"/>
      <c r="O22" s="918"/>
      <c r="P22" s="3863"/>
      <c r="Q22" s="1348"/>
      <c r="R22" s="703"/>
      <c r="S22" s="704"/>
      <c r="T22" s="703"/>
      <c r="U22" s="704"/>
      <c r="V22" s="703"/>
      <c r="W22" s="704"/>
      <c r="X22" s="1351"/>
      <c r="Y22" s="3863"/>
      <c r="Z22" s="1352"/>
      <c r="AA22" s="1349">
        <v>1</v>
      </c>
      <c r="AB22" s="1349">
        <v>1</v>
      </c>
      <c r="AC22" s="1349">
        <v>1</v>
      </c>
    </row>
    <row r="23" spans="1:29" ht="82.8">
      <c r="A23" s="378"/>
      <c r="B23" s="401" t="s">
        <v>1810</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863"/>
      <c r="Q23" s="1348" t="str">
        <f>B23</f>
        <v>环境质量</v>
      </c>
      <c r="R23" s="703" t="s">
        <v>14</v>
      </c>
      <c r="S23" s="704">
        <f>F23</f>
        <v>100</v>
      </c>
      <c r="T23" s="703" t="s">
        <v>14</v>
      </c>
      <c r="U23" s="704">
        <f>H23</f>
        <v>100</v>
      </c>
      <c r="V23" s="703" t="s">
        <v>14</v>
      </c>
      <c r="W23" s="704">
        <f>J23</f>
        <v>100</v>
      </c>
      <c r="X23" s="1351"/>
      <c r="Y23" s="3863"/>
      <c r="Z23" s="1352" t="str">
        <f>Q23</f>
        <v>环境质量</v>
      </c>
      <c r="AA23" s="1349">
        <f t="shared" si="3"/>
        <v>1</v>
      </c>
      <c r="AB23" s="1349">
        <f t="shared" si="4"/>
        <v>1</v>
      </c>
      <c r="AC23" s="1349">
        <f t="shared" si="5"/>
        <v>1</v>
      </c>
    </row>
    <row r="24" spans="1:29" ht="15">
      <c r="A24" s="378"/>
      <c r="B24" s="1127"/>
      <c r="C24" s="397"/>
      <c r="D24" s="398"/>
      <c r="E24" s="1894"/>
      <c r="F24" s="399"/>
      <c r="G24" s="1893"/>
      <c r="H24" s="398"/>
      <c r="I24" s="1894"/>
      <c r="J24" s="398"/>
      <c r="K24" s="563"/>
      <c r="L24" s="919"/>
      <c r="M24" s="910"/>
      <c r="N24" s="910"/>
      <c r="O24" s="918"/>
      <c r="P24" s="3863"/>
      <c r="Q24" s="1348"/>
      <c r="R24" s="703"/>
      <c r="S24" s="704"/>
      <c r="T24" s="703"/>
      <c r="U24" s="704"/>
      <c r="V24" s="703"/>
      <c r="W24" s="704"/>
      <c r="X24" s="1351"/>
      <c r="Y24" s="3863"/>
      <c r="Z24" s="1352"/>
      <c r="AA24" s="1349">
        <v>1</v>
      </c>
      <c r="AB24" s="1349">
        <v>1</v>
      </c>
      <c r="AC24" s="1349">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863"/>
      <c r="Q25" s="1348">
        <f>B25</f>
        <v>111</v>
      </c>
      <c r="R25" s="703" t="s">
        <v>14</v>
      </c>
      <c r="S25" s="704">
        <f>F25</f>
        <v>100</v>
      </c>
      <c r="T25" s="703" t="s">
        <v>14</v>
      </c>
      <c r="U25" s="704">
        <f>H25</f>
        <v>100</v>
      </c>
      <c r="V25" s="703" t="s">
        <v>14</v>
      </c>
      <c r="W25" s="704">
        <f>J25</f>
        <v>100</v>
      </c>
      <c r="X25" s="1351"/>
      <c r="Y25" s="3863"/>
      <c r="Z25" s="1352">
        <f>Q25</f>
        <v>111</v>
      </c>
      <c r="AA25" s="1349">
        <f t="shared" si="3"/>
        <v>1</v>
      </c>
      <c r="AB25" s="1349">
        <f t="shared" si="4"/>
        <v>1</v>
      </c>
      <c r="AC25" s="1349">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863"/>
      <c r="Q26" s="1348">
        <f t="shared" ref="Q26:Q40" si="11">B26</f>
        <v>111</v>
      </c>
      <c r="R26" s="703" t="s">
        <v>14</v>
      </c>
      <c r="S26" s="704">
        <f>F26</f>
        <v>100</v>
      </c>
      <c r="T26" s="703" t="s">
        <v>14</v>
      </c>
      <c r="U26" s="704">
        <f>H26</f>
        <v>100</v>
      </c>
      <c r="V26" s="703" t="s">
        <v>14</v>
      </c>
      <c r="W26" s="704">
        <f>J26</f>
        <v>100</v>
      </c>
      <c r="X26" s="1351"/>
      <c r="Y26" s="3863"/>
      <c r="Z26" s="1352">
        <f>Q26</f>
        <v>111</v>
      </c>
      <c r="AA26" s="1349">
        <f t="shared" si="3"/>
        <v>1</v>
      </c>
      <c r="AB26" s="1349">
        <f t="shared" si="4"/>
        <v>1</v>
      </c>
      <c r="AC26" s="1349">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863"/>
      <c r="Q27" s="1339">
        <f t="shared" si="11"/>
        <v>111</v>
      </c>
      <c r="R27" s="699" t="s">
        <v>14</v>
      </c>
      <c r="S27" s="700">
        <f>F27</f>
        <v>100</v>
      </c>
      <c r="T27" s="699" t="s">
        <v>14</v>
      </c>
      <c r="U27" s="700">
        <f>H27</f>
        <v>100</v>
      </c>
      <c r="V27" s="699" t="s">
        <v>14</v>
      </c>
      <c r="W27" s="700">
        <f>J27</f>
        <v>100</v>
      </c>
      <c r="X27" s="701"/>
      <c r="Y27" s="3863"/>
      <c r="Z27" s="52">
        <f>Q27</f>
        <v>111</v>
      </c>
      <c r="AA27" s="1349">
        <f>D27/F27</f>
        <v>1</v>
      </c>
      <c r="AB27" s="1349">
        <f>D27/H27</f>
        <v>1</v>
      </c>
      <c r="AC27" s="1349">
        <f>D27/J27</f>
        <v>1</v>
      </c>
    </row>
    <row r="28" spans="1:29" ht="15.6"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863"/>
      <c r="Q28" s="1348">
        <f t="shared" si="11"/>
        <v>111</v>
      </c>
      <c r="R28" s="703" t="s">
        <v>14</v>
      </c>
      <c r="S28" s="704">
        <f t="shared" ref="S28:S40" si="12">F28</f>
        <v>100</v>
      </c>
      <c r="T28" s="703" t="s">
        <v>14</v>
      </c>
      <c r="U28" s="704">
        <f t="shared" ref="U28:U40" si="13">H28</f>
        <v>100</v>
      </c>
      <c r="V28" s="703" t="s">
        <v>14</v>
      </c>
      <c r="W28" s="704">
        <f t="shared" ref="W28:W40" si="14">J28</f>
        <v>100</v>
      </c>
      <c r="X28" s="1351"/>
      <c r="Y28" s="3863"/>
      <c r="Z28" s="1352">
        <f t="shared" ref="Z28:Z40" si="15">Q28</f>
        <v>111</v>
      </c>
      <c r="AA28" s="1349">
        <f t="shared" si="3"/>
        <v>1</v>
      </c>
      <c r="AB28" s="1349">
        <f t="shared" si="4"/>
        <v>1</v>
      </c>
      <c r="AC28" s="1349">
        <f t="shared" si="5"/>
        <v>1</v>
      </c>
    </row>
    <row r="29" spans="1:29" ht="30">
      <c r="A29" s="416" t="s">
        <v>1690</v>
      </c>
      <c r="B29" s="63" t="s">
        <v>1813</v>
      </c>
      <c r="C29" s="1963"/>
      <c r="D29" s="417">
        <v>100</v>
      </c>
      <c r="E29" s="1963"/>
      <c r="F29" s="411">
        <f>SUMIF(88:88,E29,89:89)-SUMIF(88:88,C29,89:89)+100</f>
        <v>100</v>
      </c>
      <c r="G29" s="1963"/>
      <c r="H29" s="385">
        <f>SUMIF(88:88,G29,89:89)-SUMIF(88:88,C29,89:89)+100</f>
        <v>100</v>
      </c>
      <c r="I29" s="1963"/>
      <c r="J29" s="417">
        <f>SUMIF(88:88,I29,89:89)-SUMIF(88:88,C29,89:89)+100</f>
        <v>100</v>
      </c>
      <c r="K29" s="560"/>
      <c r="L29" s="919"/>
      <c r="M29" s="910"/>
      <c r="N29" s="910"/>
      <c r="O29" s="918"/>
      <c r="P29" s="3886" t="s">
        <v>1692</v>
      </c>
      <c r="Q29" s="1348" t="str">
        <f t="shared" si="11"/>
        <v>建筑类型</v>
      </c>
      <c r="R29" s="703" t="s">
        <v>14</v>
      </c>
      <c r="S29" s="704">
        <f t="shared" si="12"/>
        <v>100</v>
      </c>
      <c r="T29" s="703" t="s">
        <v>14</v>
      </c>
      <c r="U29" s="704">
        <f t="shared" si="13"/>
        <v>100</v>
      </c>
      <c r="V29" s="703" t="s">
        <v>14</v>
      </c>
      <c r="W29" s="704">
        <f t="shared" si="14"/>
        <v>100</v>
      </c>
      <c r="X29" s="1351"/>
      <c r="Y29" s="3867" t="s">
        <v>1692</v>
      </c>
      <c r="Z29" s="1352" t="str">
        <f t="shared" si="15"/>
        <v>建筑类型</v>
      </c>
      <c r="AA29" s="1349">
        <f t="shared" si="3"/>
        <v>1</v>
      </c>
      <c r="AB29" s="1349">
        <f t="shared" si="4"/>
        <v>1</v>
      </c>
      <c r="AC29" s="1349">
        <f t="shared" si="5"/>
        <v>1</v>
      </c>
    </row>
    <row r="30" spans="1:29" s="421" customFormat="1" ht="15">
      <c r="A30" s="418"/>
      <c r="B30" s="374" t="s">
        <v>1693</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3867"/>
      <c r="Q30" s="705" t="str">
        <f t="shared" si="11"/>
        <v>项目建筑规模</v>
      </c>
      <c r="R30" s="706" t="s">
        <v>14</v>
      </c>
      <c r="S30" s="707" t="e">
        <f t="shared" si="12"/>
        <v>#N/A</v>
      </c>
      <c r="T30" s="706" t="s">
        <v>14</v>
      </c>
      <c r="U30" s="707" t="e">
        <f t="shared" si="13"/>
        <v>#N/A</v>
      </c>
      <c r="V30" s="706" t="s">
        <v>14</v>
      </c>
      <c r="W30" s="707" t="e">
        <f t="shared" si="14"/>
        <v>#N/A</v>
      </c>
      <c r="X30" s="708"/>
      <c r="Y30" s="3867"/>
      <c r="Z30" s="709" t="str">
        <f t="shared" si="15"/>
        <v>项目建筑规模</v>
      </c>
      <c r="AA30" s="1349" t="e">
        <f t="shared" si="3"/>
        <v>#N/A</v>
      </c>
      <c r="AB30" s="1349" t="e">
        <f t="shared" si="4"/>
        <v>#N/A</v>
      </c>
      <c r="AC30" s="1349" t="e">
        <f t="shared" si="5"/>
        <v>#N/A</v>
      </c>
    </row>
    <row r="31" spans="1:29" ht="15">
      <c r="A31" s="422"/>
      <c r="B31" s="374" t="s">
        <v>1694</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867"/>
      <c r="Q31" s="1348" t="str">
        <f t="shared" si="11"/>
        <v>建筑结构</v>
      </c>
      <c r="R31" s="703" t="s">
        <v>14</v>
      </c>
      <c r="S31" s="704">
        <f t="shared" si="12"/>
        <v>100</v>
      </c>
      <c r="T31" s="703" t="s">
        <v>14</v>
      </c>
      <c r="U31" s="704">
        <f t="shared" si="13"/>
        <v>100</v>
      </c>
      <c r="V31" s="703" t="s">
        <v>14</v>
      </c>
      <c r="W31" s="704">
        <f t="shared" si="14"/>
        <v>100</v>
      </c>
      <c r="X31" s="1351"/>
      <c r="Y31" s="3867"/>
      <c r="Z31" s="1352" t="str">
        <f t="shared" si="15"/>
        <v>建筑结构</v>
      </c>
      <c r="AA31" s="1349">
        <f t="shared" si="3"/>
        <v>1</v>
      </c>
      <c r="AB31" s="1349">
        <f t="shared" si="4"/>
        <v>1</v>
      </c>
      <c r="AC31" s="1349">
        <f t="shared" si="5"/>
        <v>1</v>
      </c>
    </row>
    <row r="32" spans="1:29" ht="15">
      <c r="A32" s="422"/>
      <c r="B32" s="374" t="s">
        <v>1781</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867"/>
      <c r="Q32" s="1348" t="str">
        <f t="shared" si="11"/>
        <v>公共部分装修</v>
      </c>
      <c r="R32" s="703" t="s">
        <v>14</v>
      </c>
      <c r="S32" s="704">
        <f t="shared" si="12"/>
        <v>100</v>
      </c>
      <c r="T32" s="703" t="s">
        <v>14</v>
      </c>
      <c r="U32" s="704">
        <f t="shared" si="13"/>
        <v>100</v>
      </c>
      <c r="V32" s="703" t="s">
        <v>14</v>
      </c>
      <c r="W32" s="704">
        <f t="shared" si="14"/>
        <v>100</v>
      </c>
      <c r="X32" s="1351"/>
      <c r="Y32" s="3867"/>
      <c r="Z32" s="1352" t="str">
        <f t="shared" si="15"/>
        <v>公共部分装修</v>
      </c>
      <c r="AA32" s="1349">
        <f t="shared" si="3"/>
        <v>1</v>
      </c>
      <c r="AB32" s="1349">
        <f t="shared" si="4"/>
        <v>1</v>
      </c>
      <c r="AC32" s="1349">
        <f t="shared" si="5"/>
        <v>1</v>
      </c>
    </row>
    <row r="33" spans="1:29" ht="15">
      <c r="A33" s="422"/>
      <c r="B33" s="374" t="s">
        <v>1782</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867"/>
      <c r="Q33" s="1348" t="str">
        <f t="shared" si="11"/>
        <v>成新度</v>
      </c>
      <c r="R33" s="703" t="s">
        <v>14</v>
      </c>
      <c r="S33" s="704" t="e">
        <f t="shared" si="12"/>
        <v>#N/A</v>
      </c>
      <c r="T33" s="703" t="s">
        <v>14</v>
      </c>
      <c r="U33" s="704" t="e">
        <f t="shared" si="13"/>
        <v>#N/A</v>
      </c>
      <c r="V33" s="703" t="s">
        <v>14</v>
      </c>
      <c r="W33" s="704" t="e">
        <f t="shared" si="14"/>
        <v>#N/A</v>
      </c>
      <c r="X33" s="1351"/>
      <c r="Y33" s="3867"/>
      <c r="Z33" s="1352" t="str">
        <f t="shared" si="15"/>
        <v>成新度</v>
      </c>
      <c r="AA33" s="1349" t="e">
        <f t="shared" si="3"/>
        <v>#N/A</v>
      </c>
      <c r="AB33" s="1349" t="e">
        <f t="shared" si="4"/>
        <v>#N/A</v>
      </c>
      <c r="AC33" s="1349" t="e">
        <f t="shared" si="5"/>
        <v>#N/A</v>
      </c>
    </row>
    <row r="34" spans="1:29" s="108" customFormat="1" ht="15">
      <c r="A34" s="423"/>
      <c r="B34" s="374" t="s">
        <v>1815</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867"/>
      <c r="Q34" s="1339" t="str">
        <f t="shared" si="11"/>
        <v>物业管理</v>
      </c>
      <c r="R34" s="699" t="s">
        <v>14</v>
      </c>
      <c r="S34" s="700">
        <f t="shared" si="12"/>
        <v>100</v>
      </c>
      <c r="T34" s="699" t="s">
        <v>14</v>
      </c>
      <c r="U34" s="700">
        <f t="shared" si="13"/>
        <v>100</v>
      </c>
      <c r="V34" s="699" t="s">
        <v>14</v>
      </c>
      <c r="W34" s="700">
        <f t="shared" si="14"/>
        <v>100</v>
      </c>
      <c r="X34" s="701"/>
      <c r="Y34" s="3867"/>
      <c r="Z34" s="52" t="str">
        <f t="shared" si="15"/>
        <v>物业管理</v>
      </c>
      <c r="AA34" s="702">
        <f t="shared" si="3"/>
        <v>1</v>
      </c>
      <c r="AB34" s="702">
        <f t="shared" si="4"/>
        <v>1</v>
      </c>
      <c r="AC34" s="702">
        <f t="shared" si="5"/>
        <v>1</v>
      </c>
    </row>
    <row r="35" spans="1:29" ht="15">
      <c r="A35" s="422"/>
      <c r="B35" s="374" t="s">
        <v>1783</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867" t="s">
        <v>1692</v>
      </c>
      <c r="Q35" s="1348" t="str">
        <f t="shared" si="11"/>
        <v>市政基础设施</v>
      </c>
      <c r="R35" s="703" t="s">
        <v>14</v>
      </c>
      <c r="S35" s="704">
        <f t="shared" si="12"/>
        <v>100</v>
      </c>
      <c r="T35" s="703" t="s">
        <v>14</v>
      </c>
      <c r="U35" s="704">
        <f t="shared" si="13"/>
        <v>100</v>
      </c>
      <c r="V35" s="703" t="s">
        <v>14</v>
      </c>
      <c r="W35" s="704">
        <f t="shared" si="14"/>
        <v>100</v>
      </c>
      <c r="X35" s="1351"/>
      <c r="Y35" s="3867" t="s">
        <v>1692</v>
      </c>
      <c r="Z35" s="1352" t="str">
        <f t="shared" si="15"/>
        <v>市政基础设施</v>
      </c>
      <c r="AA35" s="1349">
        <f t="shared" si="3"/>
        <v>1</v>
      </c>
      <c r="AB35" s="1349">
        <f t="shared" si="4"/>
        <v>1</v>
      </c>
      <c r="AC35" s="1349">
        <f t="shared" si="5"/>
        <v>1</v>
      </c>
    </row>
    <row r="36" spans="1:29" ht="15">
      <c r="A36" s="422"/>
      <c r="B36" s="374" t="s">
        <v>1788</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867"/>
      <c r="Q36" s="1348" t="str">
        <f t="shared" si="11"/>
        <v>内部装修</v>
      </c>
      <c r="R36" s="703" t="s">
        <v>14</v>
      </c>
      <c r="S36" s="704">
        <f t="shared" si="12"/>
        <v>100</v>
      </c>
      <c r="T36" s="703" t="s">
        <v>14</v>
      </c>
      <c r="U36" s="704">
        <f t="shared" si="13"/>
        <v>100</v>
      </c>
      <c r="V36" s="703" t="s">
        <v>14</v>
      </c>
      <c r="W36" s="704">
        <f t="shared" si="14"/>
        <v>100</v>
      </c>
      <c r="X36" s="1351"/>
      <c r="Y36" s="3867"/>
      <c r="Z36" s="1352" t="str">
        <f t="shared" si="15"/>
        <v>内部装修</v>
      </c>
      <c r="AA36" s="1349">
        <f t="shared" si="3"/>
        <v>1</v>
      </c>
      <c r="AB36" s="1349">
        <f t="shared" si="4"/>
        <v>1</v>
      </c>
      <c r="AC36" s="1349">
        <f t="shared" si="5"/>
        <v>1</v>
      </c>
    </row>
    <row r="37" spans="1:29" ht="15">
      <c r="A37" s="422"/>
      <c r="B37" s="374" t="s">
        <v>1824</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867"/>
      <c r="Q37" s="1348" t="str">
        <f t="shared" si="11"/>
        <v>内部装修状况</v>
      </c>
      <c r="R37" s="703" t="s">
        <v>14</v>
      </c>
      <c r="S37" s="704">
        <f t="shared" si="12"/>
        <v>100</v>
      </c>
      <c r="T37" s="703" t="s">
        <v>14</v>
      </c>
      <c r="U37" s="704">
        <f t="shared" si="13"/>
        <v>100</v>
      </c>
      <c r="V37" s="703" t="s">
        <v>14</v>
      </c>
      <c r="W37" s="704">
        <f t="shared" si="14"/>
        <v>100</v>
      </c>
      <c r="X37" s="1351"/>
      <c r="Y37" s="3867"/>
      <c r="Z37" s="1352" t="str">
        <f t="shared" si="15"/>
        <v>内部装修状况</v>
      </c>
      <c r="AA37" s="1349">
        <f t="shared" si="3"/>
        <v>1</v>
      </c>
      <c r="AB37" s="1349">
        <f t="shared" si="4"/>
        <v>1</v>
      </c>
      <c r="AC37" s="1349">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867"/>
      <c r="Q38" s="705">
        <f t="shared" si="11"/>
        <v>111</v>
      </c>
      <c r="R38" s="706" t="s">
        <v>14</v>
      </c>
      <c r="S38" s="707">
        <f t="shared" si="12"/>
        <v>100</v>
      </c>
      <c r="T38" s="706" t="s">
        <v>14</v>
      </c>
      <c r="U38" s="707">
        <f t="shared" si="13"/>
        <v>100</v>
      </c>
      <c r="V38" s="706" t="s">
        <v>14</v>
      </c>
      <c r="W38" s="707">
        <f t="shared" si="14"/>
        <v>100</v>
      </c>
      <c r="X38" s="708"/>
      <c r="Y38" s="3867"/>
      <c r="Z38" s="709">
        <f t="shared" si="15"/>
        <v>111</v>
      </c>
      <c r="AA38" s="1349">
        <f t="shared" si="3"/>
        <v>1</v>
      </c>
      <c r="AB38" s="1349">
        <f t="shared" si="4"/>
        <v>1</v>
      </c>
      <c r="AC38" s="1349">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867"/>
      <c r="Q39" s="1348">
        <f t="shared" si="11"/>
        <v>111</v>
      </c>
      <c r="R39" s="703" t="s">
        <v>14</v>
      </c>
      <c r="S39" s="704">
        <f t="shared" si="12"/>
        <v>100</v>
      </c>
      <c r="T39" s="703" t="s">
        <v>14</v>
      </c>
      <c r="U39" s="704">
        <f t="shared" si="13"/>
        <v>100</v>
      </c>
      <c r="V39" s="703" t="s">
        <v>14</v>
      </c>
      <c r="W39" s="704">
        <f t="shared" si="14"/>
        <v>100</v>
      </c>
      <c r="X39" s="1351"/>
      <c r="Y39" s="3867"/>
      <c r="Z39" s="1352">
        <f t="shared" si="15"/>
        <v>111</v>
      </c>
      <c r="AA39" s="1349">
        <f t="shared" si="3"/>
        <v>1</v>
      </c>
      <c r="AB39" s="1349">
        <f t="shared" si="4"/>
        <v>1</v>
      </c>
      <c r="AC39" s="1349">
        <f t="shared" si="5"/>
        <v>1</v>
      </c>
    </row>
    <row r="40" spans="1:29" ht="15.6"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868"/>
      <c r="Q40" s="1348">
        <f t="shared" si="11"/>
        <v>111</v>
      </c>
      <c r="R40" s="703" t="s">
        <v>14</v>
      </c>
      <c r="S40" s="704">
        <f t="shared" si="12"/>
        <v>100</v>
      </c>
      <c r="T40" s="703" t="s">
        <v>14</v>
      </c>
      <c r="U40" s="704">
        <f t="shared" si="13"/>
        <v>100</v>
      </c>
      <c r="V40" s="703" t="s">
        <v>14</v>
      </c>
      <c r="W40" s="704">
        <f t="shared" si="14"/>
        <v>100</v>
      </c>
      <c r="X40" s="1351"/>
      <c r="Y40" s="3868"/>
      <c r="Z40" s="1352">
        <f t="shared" si="15"/>
        <v>111</v>
      </c>
      <c r="AA40" s="1349">
        <f t="shared" si="3"/>
        <v>1</v>
      </c>
      <c r="AB40" s="1349">
        <f t="shared" si="4"/>
        <v>1</v>
      </c>
      <c r="AC40" s="1349">
        <f t="shared" si="5"/>
        <v>1</v>
      </c>
    </row>
    <row r="41" spans="1:29" ht="14.4">
      <c r="A41" s="429" t="s">
        <v>1704</v>
      </c>
      <c r="B41" s="430"/>
      <c r="C41" s="1150" t="s">
        <v>0</v>
      </c>
      <c r="D41" s="1151"/>
      <c r="E41" s="1152"/>
      <c r="F41" s="1153"/>
      <c r="G41" s="1154"/>
      <c r="H41" s="1155"/>
      <c r="I41" s="1152"/>
      <c r="J41" s="1155"/>
      <c r="K41" s="712"/>
      <c r="L41" s="922"/>
      <c r="M41" s="923"/>
      <c r="N41" s="910"/>
      <c r="O41" s="923"/>
      <c r="P41" s="3860" t="str">
        <f>A41</f>
        <v>成交单价（元/平方米）</v>
      </c>
      <c r="Q41" s="3860"/>
      <c r="R41" s="3861">
        <f>E41</f>
        <v>0</v>
      </c>
      <c r="S41" s="3861"/>
      <c r="T41" s="3861">
        <f>G41</f>
        <v>0</v>
      </c>
      <c r="U41" s="3861"/>
      <c r="V41" s="3861">
        <f>I41</f>
        <v>0</v>
      </c>
      <c r="W41" s="3861"/>
      <c r="X41" s="688"/>
      <c r="Y41" s="710"/>
      <c r="Z41" s="688"/>
      <c r="AA41" s="688"/>
      <c r="AB41" s="688"/>
      <c r="AC41" s="688"/>
    </row>
    <row r="42" spans="1:29" ht="15" thickBot="1">
      <c r="A42" s="436" t="s">
        <v>1789</v>
      </c>
      <c r="B42" s="437"/>
      <c r="C42" s="1156" t="e">
        <f>R43</f>
        <v>#DIV/0!</v>
      </c>
      <c r="D42" s="2313" t="s">
        <v>2134</v>
      </c>
      <c r="E42" s="1157" t="e">
        <f>R42</f>
        <v>#DIV/0!</v>
      </c>
      <c r="F42" s="2314"/>
      <c r="G42" s="1156" t="e">
        <f>T42</f>
        <v>#DIV/0!</v>
      </c>
      <c r="H42" s="2314"/>
      <c r="I42" s="1157" t="e">
        <f>V42</f>
        <v>#DIV/0!</v>
      </c>
      <c r="J42" s="2314"/>
      <c r="K42" s="2316">
        <f>F42+H42+J42</f>
        <v>0</v>
      </c>
      <c r="L42" s="922"/>
      <c r="M42" s="923"/>
      <c r="N42" s="910"/>
      <c r="O42" s="923"/>
      <c r="P42" s="3860" t="str">
        <f>A42</f>
        <v>比较价值（元/平方米）</v>
      </c>
      <c r="Q42" s="3860"/>
      <c r="R42" s="3861" t="e">
        <f>IF(F1="售价",ROUND(PRODUCT(R41,AA7:AA40),0),ROUND(PRODUCT(R41,AA7:AA40),1))</f>
        <v>#DIV/0!</v>
      </c>
      <c r="S42" s="3861"/>
      <c r="T42" s="3861" t="e">
        <f>IF(F1="售价",ROUND(PRODUCT(T41,AB7:AB40),0),ROUND(PRODUCT(T41,AB7:AB40),1))</f>
        <v>#DIV/0!</v>
      </c>
      <c r="U42" s="3861"/>
      <c r="V42" s="3861" t="e">
        <f>IF(F1="售价",ROUND(PRODUCT(V41,AC7:AC40),0),ROUND(PRODUCT(V41,AC7:AC40),1))</f>
        <v>#DIV/0!</v>
      </c>
      <c r="W42" s="3861"/>
      <c r="X42" s="688"/>
      <c r="Y42" s="688"/>
      <c r="Z42" s="688"/>
      <c r="AA42" s="688"/>
      <c r="AB42" s="688"/>
      <c r="AC42" s="688"/>
    </row>
    <row r="43" spans="1:29" ht="15" thickBot="1">
      <c r="A43" s="440" t="s">
        <v>1790</v>
      </c>
      <c r="B43" s="441"/>
      <c r="C43" s="1159" t="e">
        <f>R43</f>
        <v>#DIV/0!</v>
      </c>
      <c r="D43" s="1159"/>
      <c r="E43" s="1159"/>
      <c r="F43" s="1159"/>
      <c r="G43" s="1159"/>
      <c r="H43" s="1159"/>
      <c r="I43" s="1159"/>
      <c r="J43" s="1159"/>
      <c r="K43" s="713"/>
      <c r="L43" s="922"/>
      <c r="M43" s="923"/>
      <c r="N43" s="923"/>
      <c r="O43" s="923"/>
      <c r="P43" s="3857" t="str">
        <f>A43</f>
        <v>估价对象XX用房的比较价值（楼面单价，元/平方米）</v>
      </c>
      <c r="Q43" s="3858"/>
      <c r="R43" s="3859" t="e">
        <f>IF(F1="售价",ROUND(IF(D42="简单平均",AVERAGE(R42:V42),R42*F42+T42*H42+V42*J42),0),ROUND(IF(D42="简单平均",AVERAGE(R42:V42),R42*F42+T42*H42+V42*J42),1))</f>
        <v>#DIV/0!</v>
      </c>
      <c r="S43" s="3859"/>
      <c r="T43" s="3859"/>
      <c r="U43" s="3859"/>
      <c r="V43" s="3859"/>
      <c r="W43" s="3859"/>
      <c r="X43" s="688"/>
      <c r="Y43" s="688"/>
      <c r="Z43" s="688"/>
      <c r="AA43" s="688"/>
      <c r="AB43" s="688"/>
      <c r="AC43" s="688"/>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5"/>
      <c r="M46" s="923"/>
      <c r="N46" s="923"/>
      <c r="O46" s="923"/>
    </row>
    <row r="47" spans="1:29" ht="13.5" customHeight="1">
      <c r="A47" s="2721"/>
      <c r="B47" s="2721"/>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5"/>
      <c r="M47" s="923"/>
      <c r="N47" s="923"/>
      <c r="O47" s="923"/>
    </row>
    <row r="48" spans="1:29" s="450" customFormat="1" ht="13.5" customHeight="1">
      <c r="A48" s="2724"/>
      <c r="B48" s="2724"/>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6"/>
      <c r="M48" s="924"/>
      <c r="N48" s="924"/>
      <c r="O48" s="924"/>
    </row>
    <row r="49" spans="1:17" s="450"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2.2" thickBot="1">
      <c r="A51" s="692" t="s">
        <v>1794</v>
      </c>
      <c r="B51" s="688"/>
      <c r="C51" s="693"/>
      <c r="D51" s="693"/>
      <c r="E51" s="693"/>
      <c r="F51" s="694"/>
      <c r="G51" s="694"/>
      <c r="H51" s="693"/>
      <c r="I51" s="693"/>
      <c r="J51" s="693"/>
      <c r="K51" s="937"/>
      <c r="L51" s="938"/>
      <c r="M51" s="936"/>
      <c r="N51" s="936"/>
      <c r="O51" s="936"/>
      <c r="P51" s="451"/>
      <c r="Q51" s="452"/>
    </row>
    <row r="52" spans="1:17" s="456" customFormat="1" ht="14.4">
      <c r="A52" s="453" t="s">
        <v>1675</v>
      </c>
      <c r="B52" s="454"/>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5"/>
    </row>
    <row r="53" spans="1:17" s="108" customFormat="1">
      <c r="A53" s="457"/>
      <c r="B53" s="458"/>
      <c r="C53" s="1179">
        <v>100</v>
      </c>
      <c r="D53" s="460"/>
      <c r="E53" s="460"/>
      <c r="F53" s="460"/>
      <c r="G53" s="460"/>
      <c r="H53" s="460"/>
      <c r="I53" s="460"/>
      <c r="J53" s="460"/>
      <c r="K53" s="460"/>
      <c r="L53" s="460"/>
      <c r="M53" s="461"/>
      <c r="N53" s="460"/>
      <c r="O53" s="462"/>
      <c r="P53" s="452"/>
    </row>
    <row r="54" spans="1:17" s="108" customFormat="1" ht="15" thickBot="1">
      <c r="A54" s="463" t="s">
        <v>1712</v>
      </c>
      <c r="B54" s="464"/>
      <c r="C54" s="465"/>
      <c r="D54" s="466"/>
      <c r="E54" s="466"/>
      <c r="F54" s="466"/>
      <c r="G54" s="466"/>
      <c r="H54" s="466"/>
      <c r="I54" s="466"/>
      <c r="J54" s="466"/>
      <c r="K54" s="466"/>
      <c r="L54" s="466"/>
      <c r="M54" s="467"/>
      <c r="N54" s="2766"/>
      <c r="O54" s="2767"/>
      <c r="P54" s="452"/>
      <c r="Q54" s="452"/>
    </row>
    <row r="55" spans="1:17" s="108" customFormat="1" ht="14.4">
      <c r="A55" s="469" t="s">
        <v>1677</v>
      </c>
      <c r="B55" s="458"/>
      <c r="C55" s="470" t="s">
        <v>1772</v>
      </c>
      <c r="D55" s="471"/>
      <c r="E55" s="471"/>
      <c r="F55" s="471"/>
      <c r="G55" s="471"/>
      <c r="H55" s="471"/>
      <c r="I55" s="471"/>
      <c r="J55" s="471"/>
      <c r="K55" s="471"/>
      <c r="L55" s="472"/>
      <c r="M55" s="473"/>
      <c r="N55" s="928"/>
      <c r="O55" s="928"/>
      <c r="P55" s="474"/>
      <c r="Q55" s="452"/>
    </row>
    <row r="56" spans="1:17" s="108" customFormat="1" ht="14.4" thickBot="1">
      <c r="A56" s="469"/>
      <c r="B56" s="458"/>
      <c r="C56" s="586">
        <v>100</v>
      </c>
      <c r="D56" s="460"/>
      <c r="E56" s="460"/>
      <c r="F56" s="460"/>
      <c r="G56" s="460"/>
      <c r="H56" s="460"/>
      <c r="I56" s="460"/>
      <c r="J56" s="460"/>
      <c r="K56" s="460"/>
      <c r="L56" s="460"/>
      <c r="M56" s="462"/>
      <c r="N56" s="928"/>
      <c r="O56" s="928"/>
      <c r="P56" s="452"/>
      <c r="Q56" s="452"/>
    </row>
    <row r="57" spans="1:17" ht="14.4">
      <c r="A57" s="475" t="s">
        <v>1715</v>
      </c>
      <c r="B57" s="476" t="s">
        <v>1681</v>
      </c>
      <c r="C57" s="477">
        <f>C9</f>
        <v>0</v>
      </c>
      <c r="D57" s="478"/>
      <c r="E57" s="478"/>
      <c r="F57" s="478"/>
      <c r="G57" s="478"/>
      <c r="H57" s="478"/>
      <c r="I57" s="478"/>
      <c r="J57" s="478"/>
      <c r="K57" s="479"/>
      <c r="L57" s="480"/>
      <c r="M57" s="481"/>
      <c r="N57" s="929"/>
      <c r="O57" s="929"/>
      <c r="P57" s="42"/>
      <c r="Q57" s="452"/>
    </row>
    <row r="58" spans="1:17" ht="14.4" thickBot="1">
      <c r="A58" s="482"/>
      <c r="B58" s="483"/>
      <c r="C58" s="484">
        <v>100</v>
      </c>
      <c r="D58" s="484"/>
      <c r="E58" s="484"/>
      <c r="F58" s="484"/>
      <c r="G58" s="484"/>
      <c r="H58" s="484"/>
      <c r="I58" s="484"/>
      <c r="J58" s="484"/>
      <c r="K58" s="484"/>
      <c r="L58" s="484"/>
      <c r="M58" s="485"/>
      <c r="N58" s="930"/>
      <c r="O58" s="930"/>
      <c r="P58" s="42"/>
      <c r="Q58" s="452"/>
    </row>
    <row r="59" spans="1:17" ht="29.4" thickTop="1">
      <c r="A59" s="482"/>
      <c r="B59" s="486" t="s">
        <v>1684</v>
      </c>
      <c r="C59" s="531"/>
      <c r="D59" s="531"/>
      <c r="E59" s="531"/>
      <c r="F59" s="531"/>
      <c r="G59" s="531"/>
      <c r="H59" s="531"/>
      <c r="I59" s="531"/>
      <c r="J59" s="531"/>
      <c r="K59" s="532"/>
      <c r="L59" s="533"/>
      <c r="M59" s="534"/>
      <c r="N59" s="929"/>
      <c r="O59" s="929"/>
      <c r="P59" s="42"/>
      <c r="Q59" s="452"/>
    </row>
    <row r="60" spans="1:17" ht="14.4" thickBot="1">
      <c r="A60" s="482"/>
      <c r="B60" s="491"/>
      <c r="C60" s="484"/>
      <c r="D60" s="484"/>
      <c r="E60" s="484"/>
      <c r="F60" s="484"/>
      <c r="G60" s="484"/>
      <c r="H60" s="484"/>
      <c r="I60" s="484"/>
      <c r="J60" s="484"/>
      <c r="K60" s="484"/>
      <c r="L60" s="484"/>
      <c r="M60" s="485"/>
      <c r="N60" s="930"/>
      <c r="O60" s="930"/>
      <c r="P60" s="42"/>
      <c r="Q60" s="452"/>
    </row>
    <row r="61" spans="1:17" ht="15" thickTop="1">
      <c r="A61" s="482"/>
      <c r="B61" s="494" t="s">
        <v>1685</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c r="A62" s="482"/>
      <c r="B62" s="496"/>
      <c r="C62" s="497">
        <v>0</v>
      </c>
      <c r="D62" s="497">
        <v>2</v>
      </c>
      <c r="E62" s="497"/>
      <c r="F62" s="497"/>
      <c r="G62" s="497"/>
      <c r="H62" s="497"/>
      <c r="I62" s="497"/>
      <c r="J62" s="497"/>
      <c r="K62" s="498"/>
      <c r="L62" s="499"/>
      <c r="M62" s="500"/>
      <c r="N62" s="929"/>
      <c r="O62" s="929"/>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4.4" thickTop="1">
      <c r="A64" s="501"/>
      <c r="B64" s="486">
        <f>B12</f>
        <v>111</v>
      </c>
      <c r="C64" s="502"/>
      <c r="D64" s="502"/>
      <c r="E64" s="502"/>
      <c r="F64" s="502"/>
      <c r="G64" s="502"/>
      <c r="H64" s="503"/>
      <c r="I64" s="503"/>
      <c r="J64" s="503"/>
      <c r="K64" s="503"/>
      <c r="L64" s="504"/>
      <c r="M64" s="505"/>
      <c r="N64" s="931"/>
      <c r="O64" s="931"/>
      <c r="P64" s="506"/>
      <c r="Q64" s="507"/>
    </row>
    <row r="65" spans="1:17" s="421" customFormat="1" ht="14.4" thickBot="1">
      <c r="A65" s="501"/>
      <c r="B65" s="491"/>
      <c r="C65" s="508"/>
      <c r="D65" s="484"/>
      <c r="E65" s="484"/>
      <c r="F65" s="484"/>
      <c r="G65" s="484"/>
      <c r="H65" s="484"/>
      <c r="I65" s="484"/>
      <c r="J65" s="484"/>
      <c r="K65" s="484"/>
      <c r="L65" s="484"/>
      <c r="M65" s="485"/>
      <c r="N65" s="930"/>
      <c r="O65" s="930"/>
      <c r="P65" s="506"/>
      <c r="Q65" s="507"/>
    </row>
    <row r="66" spans="1:17" s="421" customFormat="1" ht="14.4" thickTop="1">
      <c r="A66" s="501"/>
      <c r="B66" s="486">
        <f>B13</f>
        <v>111</v>
      </c>
      <c r="C66" s="502"/>
      <c r="D66" s="502"/>
      <c r="E66" s="502"/>
      <c r="F66" s="502"/>
      <c r="G66" s="502"/>
      <c r="H66" s="503"/>
      <c r="I66" s="503"/>
      <c r="J66" s="503"/>
      <c r="K66" s="503"/>
      <c r="L66" s="504"/>
      <c r="M66" s="505"/>
      <c r="N66" s="931"/>
      <c r="O66" s="931"/>
      <c r="P66" s="420"/>
      <c r="Q66" s="509"/>
    </row>
    <row r="67" spans="1:17" s="421" customFormat="1" ht="14.4" thickBot="1">
      <c r="A67" s="501"/>
      <c r="B67" s="491"/>
      <c r="C67" s="508"/>
      <c r="D67" s="484"/>
      <c r="E67" s="484"/>
      <c r="F67" s="484"/>
      <c r="G67" s="508"/>
      <c r="H67" s="510"/>
      <c r="I67" s="510"/>
      <c r="J67" s="510"/>
      <c r="K67" s="510"/>
      <c r="L67" s="510"/>
      <c r="M67" s="511"/>
      <c r="N67" s="931"/>
      <c r="O67" s="931"/>
      <c r="P67" s="506"/>
      <c r="Q67" s="507"/>
    </row>
    <row r="68" spans="1:17" s="421" customFormat="1" ht="14.4" thickTop="1">
      <c r="A68" s="501"/>
      <c r="B68" s="494">
        <f>B14</f>
        <v>111</v>
      </c>
      <c r="C68" s="471"/>
      <c r="D68" s="471"/>
      <c r="E68" s="471"/>
      <c r="F68" s="471"/>
      <c r="G68" s="471"/>
      <c r="H68" s="512"/>
      <c r="I68" s="512"/>
      <c r="J68" s="512"/>
      <c r="K68" s="512"/>
      <c r="L68" s="513"/>
      <c r="M68" s="514"/>
      <c r="N68" s="931"/>
      <c r="O68" s="931"/>
      <c r="P68" s="515"/>
      <c r="Q68" s="507"/>
    </row>
    <row r="69" spans="1:17" s="421" customFormat="1" ht="14.4" thickBot="1">
      <c r="A69" s="516"/>
      <c r="B69" s="517"/>
      <c r="C69" s="518"/>
      <c r="D69" s="518"/>
      <c r="E69" s="518"/>
      <c r="F69" s="518"/>
      <c r="G69" s="518"/>
      <c r="H69" s="519"/>
      <c r="I69" s="519"/>
      <c r="J69" s="519"/>
      <c r="K69" s="519"/>
      <c r="L69" s="519"/>
      <c r="M69" s="520"/>
      <c r="N69" s="931"/>
      <c r="O69" s="931"/>
      <c r="P69" s="506"/>
      <c r="Q69" s="507"/>
    </row>
    <row r="70" spans="1:17" ht="14.4">
      <c r="A70" s="475" t="s">
        <v>1686</v>
      </c>
      <c r="B70" s="476" t="s">
        <v>1825</v>
      </c>
      <c r="C70" s="521" t="s">
        <v>1717</v>
      </c>
      <c r="D70" s="521" t="s">
        <v>1718</v>
      </c>
      <c r="E70" s="521" t="s">
        <v>1719</v>
      </c>
      <c r="F70" s="521" t="s">
        <v>1720</v>
      </c>
      <c r="G70" s="521" t="s">
        <v>1721</v>
      </c>
      <c r="H70" s="477"/>
      <c r="I70" s="477"/>
      <c r="J70" s="477"/>
      <c r="K70" s="522"/>
      <c r="L70" s="523"/>
      <c r="M70" s="524"/>
      <c r="N70" s="929"/>
      <c r="O70" s="929"/>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 thickTop="1">
      <c r="A72" s="482"/>
      <c r="B72" s="486" t="s">
        <v>1722</v>
      </c>
      <c r="C72" s="526" t="s">
        <v>1717</v>
      </c>
      <c r="D72" s="526" t="s">
        <v>1718</v>
      </c>
      <c r="E72" s="526" t="s">
        <v>1719</v>
      </c>
      <c r="F72" s="526" t="s">
        <v>1720</v>
      </c>
      <c r="G72" s="526" t="s">
        <v>1721</v>
      </c>
      <c r="H72" s="487"/>
      <c r="I72" s="487"/>
      <c r="J72" s="487"/>
      <c r="K72" s="488"/>
      <c r="L72" s="489"/>
      <c r="M72" s="490"/>
      <c r="N72" s="929"/>
      <c r="O72" s="929"/>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 thickTop="1">
      <c r="A74" s="482"/>
      <c r="B74" s="486" t="s">
        <v>1723</v>
      </c>
      <c r="C74" s="526" t="s">
        <v>1717</v>
      </c>
      <c r="D74" s="526" t="s">
        <v>1718</v>
      </c>
      <c r="E74" s="526" t="s">
        <v>1719</v>
      </c>
      <c r="F74" s="526" t="s">
        <v>1720</v>
      </c>
      <c r="G74" s="526" t="s">
        <v>1721</v>
      </c>
      <c r="H74" s="487"/>
      <c r="I74" s="487"/>
      <c r="J74" s="487"/>
      <c r="K74" s="488"/>
      <c r="L74" s="489"/>
      <c r="M74" s="490"/>
      <c r="N74" s="929"/>
      <c r="O74" s="929"/>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 thickTop="1">
      <c r="A76" s="482"/>
      <c r="B76" s="494" t="s">
        <v>1809</v>
      </c>
      <c r="C76" s="607" t="s">
        <v>1795</v>
      </c>
      <c r="D76" s="607" t="s">
        <v>1796</v>
      </c>
      <c r="E76" s="607" t="s">
        <v>1797</v>
      </c>
      <c r="F76" s="607" t="s">
        <v>1798</v>
      </c>
      <c r="G76" s="607" t="s">
        <v>1799</v>
      </c>
      <c r="H76" s="487"/>
      <c r="I76" s="487"/>
      <c r="J76" s="487"/>
      <c r="K76" s="487"/>
      <c r="L76" s="487"/>
      <c r="M76" s="1125"/>
      <c r="N76" s="930"/>
      <c r="O76" s="930"/>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 thickTop="1">
      <c r="A78" s="482"/>
      <c r="B78" s="486" t="s">
        <v>1818</v>
      </c>
      <c r="C78" s="526" t="s">
        <v>1717</v>
      </c>
      <c r="D78" s="526" t="s">
        <v>1718</v>
      </c>
      <c r="E78" s="526" t="s">
        <v>1719</v>
      </c>
      <c r="F78" s="526" t="s">
        <v>1720</v>
      </c>
      <c r="G78" s="526" t="s">
        <v>1721</v>
      </c>
      <c r="H78" s="487"/>
      <c r="I78" s="487"/>
      <c r="J78" s="487"/>
      <c r="K78" s="488"/>
      <c r="L78" s="489"/>
      <c r="M78" s="490"/>
      <c r="N78" s="929"/>
      <c r="O78" s="929"/>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8" customFormat="1" ht="14.4" thickTop="1">
      <c r="A80" s="527"/>
      <c r="B80" s="486">
        <f>B25</f>
        <v>111</v>
      </c>
      <c r="C80" s="502"/>
      <c r="D80" s="502"/>
      <c r="E80" s="502"/>
      <c r="F80" s="502"/>
      <c r="G80" s="502"/>
      <c r="H80" s="502"/>
      <c r="I80" s="502"/>
      <c r="J80" s="502"/>
      <c r="K80" s="502"/>
      <c r="L80" s="528"/>
      <c r="M80" s="529"/>
      <c r="N80" s="928"/>
      <c r="O80" s="928"/>
      <c r="P80" s="42"/>
      <c r="Q80" s="452"/>
    </row>
    <row r="81" spans="1:17" s="108" customFormat="1" ht="14.4" thickBot="1">
      <c r="A81" s="527"/>
      <c r="B81" s="491"/>
      <c r="C81" s="508"/>
      <c r="D81" s="484"/>
      <c r="E81" s="484"/>
      <c r="F81" s="484"/>
      <c r="G81" s="484"/>
      <c r="H81" s="484"/>
      <c r="I81" s="484"/>
      <c r="J81" s="484"/>
      <c r="K81" s="484"/>
      <c r="L81" s="484"/>
      <c r="M81" s="485"/>
      <c r="N81" s="930"/>
      <c r="O81" s="930"/>
      <c r="P81" s="42"/>
      <c r="Q81" s="452"/>
    </row>
    <row r="82" spans="1:17" s="108" customFormat="1" ht="14.4" thickTop="1">
      <c r="A82" s="527"/>
      <c r="B82" s="486">
        <f>B26</f>
        <v>111</v>
      </c>
      <c r="C82" s="502"/>
      <c r="D82" s="502"/>
      <c r="E82" s="502"/>
      <c r="F82" s="502"/>
      <c r="G82" s="502"/>
      <c r="H82" s="502"/>
      <c r="I82" s="502"/>
      <c r="J82" s="502"/>
      <c r="K82" s="502"/>
      <c r="L82" s="528"/>
      <c r="M82" s="529"/>
      <c r="N82" s="928"/>
      <c r="O82" s="928"/>
      <c r="P82" s="42"/>
      <c r="Q82" s="452"/>
    </row>
    <row r="83" spans="1:17" s="108" customFormat="1" ht="14.4" thickBot="1">
      <c r="A83" s="527"/>
      <c r="B83" s="491"/>
      <c r="C83" s="508"/>
      <c r="D83" s="484"/>
      <c r="E83" s="484"/>
      <c r="F83" s="484"/>
      <c r="G83" s="484"/>
      <c r="H83" s="484"/>
      <c r="I83" s="484"/>
      <c r="J83" s="484"/>
      <c r="K83" s="484"/>
      <c r="L83" s="484"/>
      <c r="M83" s="485"/>
      <c r="N83" s="930"/>
      <c r="O83" s="930"/>
      <c r="P83" s="42"/>
      <c r="Q83" s="452"/>
    </row>
    <row r="84" spans="1:17" s="421" customFormat="1" ht="14.4" thickTop="1">
      <c r="A84" s="501"/>
      <c r="B84" s="486">
        <f>B27</f>
        <v>111</v>
      </c>
      <c r="C84" s="502"/>
      <c r="D84" s="502"/>
      <c r="E84" s="502"/>
      <c r="F84" s="502"/>
      <c r="G84" s="502"/>
      <c r="H84" s="502"/>
      <c r="I84" s="502"/>
      <c r="J84" s="502"/>
      <c r="K84" s="502"/>
      <c r="L84" s="528"/>
      <c r="M84" s="529"/>
      <c r="N84" s="931"/>
      <c r="O84" s="931"/>
      <c r="P84" s="506"/>
      <c r="Q84" s="507"/>
    </row>
    <row r="85" spans="1:17" s="421" customFormat="1" ht="14.4" thickBot="1">
      <c r="A85" s="501"/>
      <c r="B85" s="491"/>
      <c r="C85" s="508"/>
      <c r="D85" s="484"/>
      <c r="E85" s="484"/>
      <c r="F85" s="484"/>
      <c r="G85" s="484"/>
      <c r="H85" s="484"/>
      <c r="I85" s="484"/>
      <c r="J85" s="484"/>
      <c r="K85" s="484"/>
      <c r="L85" s="484"/>
      <c r="M85" s="485"/>
      <c r="N85" s="931"/>
      <c r="O85" s="931"/>
      <c r="P85" s="506"/>
      <c r="Q85" s="507"/>
    </row>
    <row r="86" spans="1:17" ht="14.4" thickTop="1">
      <c r="A86" s="482"/>
      <c r="B86" s="494">
        <f>B28</f>
        <v>111</v>
      </c>
      <c r="C86" s="471"/>
      <c r="D86" s="471"/>
      <c r="E86" s="471"/>
      <c r="F86" s="471"/>
      <c r="G86" s="535"/>
      <c r="H86" s="535"/>
      <c r="I86" s="535"/>
      <c r="J86" s="535"/>
      <c r="K86" s="536"/>
      <c r="L86" s="537"/>
      <c r="M86" s="538"/>
      <c r="N86" s="929"/>
      <c r="O86" s="929"/>
      <c r="P86" s="42"/>
      <c r="Q86" s="452"/>
    </row>
    <row r="87" spans="1:17" ht="14.4" thickBot="1">
      <c r="A87" s="1924"/>
      <c r="B87" s="517"/>
      <c r="C87" s="518"/>
      <c r="D87" s="518"/>
      <c r="E87" s="518"/>
      <c r="F87" s="518"/>
      <c r="G87" s="539"/>
      <c r="H87" s="539"/>
      <c r="I87" s="539"/>
      <c r="J87" s="539"/>
      <c r="K87" s="539"/>
      <c r="L87" s="539"/>
      <c r="M87" s="540"/>
      <c r="N87" s="930"/>
      <c r="O87" s="930"/>
      <c r="P87" s="42"/>
      <c r="Q87" s="452"/>
    </row>
    <row r="88" spans="1:17" ht="14.4">
      <c r="A88" s="475" t="s">
        <v>1690</v>
      </c>
      <c r="B88" s="476" t="s">
        <v>1732</v>
      </c>
      <c r="C88" s="478"/>
      <c r="D88" s="478"/>
      <c r="E88" s="478"/>
      <c r="F88" s="478"/>
      <c r="G88" s="478"/>
      <c r="H88" s="478"/>
      <c r="I88" s="478"/>
      <c r="J88" s="478"/>
      <c r="K88" s="479"/>
      <c r="L88" s="480"/>
      <c r="M88" s="481"/>
      <c r="N88" s="929"/>
      <c r="O88" s="929"/>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 thickTop="1">
      <c r="A90" s="482"/>
      <c r="B90" s="486" t="s">
        <v>1733</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4.4"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1734</v>
      </c>
      <c r="C93" s="502"/>
      <c r="D93" s="502"/>
      <c r="E93" s="531"/>
      <c r="F93" s="531"/>
      <c r="G93" s="531"/>
      <c r="H93" s="531"/>
      <c r="I93" s="531"/>
      <c r="J93" s="531"/>
      <c r="K93" s="532"/>
      <c r="L93" s="533"/>
      <c r="M93" s="534"/>
      <c r="N93" s="929"/>
      <c r="O93" s="929"/>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1736</v>
      </c>
      <c r="C95" s="502"/>
      <c r="D95" s="502"/>
      <c r="E95" s="502"/>
      <c r="F95" s="531"/>
      <c r="G95" s="531"/>
      <c r="H95" s="531"/>
      <c r="I95" s="531"/>
      <c r="J95" s="531"/>
      <c r="K95" s="532"/>
      <c r="L95" s="533"/>
      <c r="M95" s="534"/>
      <c r="N95" s="929"/>
      <c r="O95" s="929"/>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1186</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1737</v>
      </c>
      <c r="C100" s="502"/>
      <c r="D100" s="502"/>
      <c r="E100" s="502"/>
      <c r="F100" s="502"/>
      <c r="G100" s="502"/>
      <c r="H100" s="531"/>
      <c r="I100" s="531"/>
      <c r="J100" s="531"/>
      <c r="K100" s="532"/>
      <c r="L100" s="533"/>
      <c r="M100" s="534"/>
      <c r="N100" s="931"/>
      <c r="O100" s="931"/>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1738</v>
      </c>
      <c r="C102" s="502"/>
      <c r="D102" s="502"/>
      <c r="E102" s="502"/>
      <c r="F102" s="502"/>
      <c r="G102" s="502"/>
      <c r="H102" s="531"/>
      <c r="I102" s="531"/>
      <c r="J102" s="531"/>
      <c r="K102" s="532"/>
      <c r="L102" s="533"/>
      <c r="M102" s="534"/>
      <c r="N102" s="929"/>
      <c r="O102" s="929"/>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1740</v>
      </c>
      <c r="C104" s="502"/>
      <c r="D104" s="502"/>
      <c r="E104" s="502"/>
      <c r="F104" s="502"/>
      <c r="G104" s="502"/>
      <c r="H104" s="531"/>
      <c r="I104" s="531"/>
      <c r="J104" s="531"/>
      <c r="K104" s="532"/>
      <c r="L104" s="533"/>
      <c r="M104" s="534"/>
      <c r="N104" s="929"/>
      <c r="O104" s="929"/>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29.4" thickTop="1">
      <c r="A106" s="547"/>
      <c r="B106" s="583" t="s">
        <v>1826</v>
      </c>
      <c r="C106" s="526" t="s">
        <v>1717</v>
      </c>
      <c r="D106" s="526" t="s">
        <v>1718</v>
      </c>
      <c r="E106" s="526" t="s">
        <v>1719</v>
      </c>
      <c r="F106" s="526" t="s">
        <v>1720</v>
      </c>
      <c r="G106" s="526" t="s">
        <v>1721</v>
      </c>
      <c r="H106" s="487"/>
      <c r="I106" s="487"/>
      <c r="J106" s="487"/>
      <c r="K106" s="488"/>
      <c r="L106" s="489"/>
      <c r="M106" s="490"/>
      <c r="N106" s="930"/>
      <c r="O106" s="930"/>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4.4"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4.4" thickBot="1">
      <c r="A109" s="501"/>
      <c r="B109" s="483"/>
      <c r="C109" s="508"/>
      <c r="D109" s="484"/>
      <c r="E109" s="484"/>
      <c r="F109" s="484"/>
      <c r="G109" s="508"/>
      <c r="H109" s="510"/>
      <c r="I109" s="510"/>
      <c r="J109" s="510"/>
      <c r="K109" s="510"/>
      <c r="L109" s="510"/>
      <c r="M109" s="511"/>
      <c r="N109" s="931"/>
      <c r="O109" s="931"/>
      <c r="P109" s="506"/>
      <c r="Q109" s="507"/>
    </row>
    <row r="110" spans="1:17" ht="14.4" thickTop="1">
      <c r="A110" s="547"/>
      <c r="B110" s="486">
        <f>B39</f>
        <v>111</v>
      </c>
      <c r="C110" s="502"/>
      <c r="D110" s="502"/>
      <c r="E110" s="502"/>
      <c r="F110" s="502"/>
      <c r="G110" s="502"/>
      <c r="H110" s="503"/>
      <c r="I110" s="503"/>
      <c r="J110" s="503"/>
      <c r="K110" s="503"/>
      <c r="L110" s="504"/>
      <c r="M110" s="505"/>
      <c r="N110" s="929"/>
      <c r="O110" s="929"/>
      <c r="P110" s="42"/>
      <c r="Q110" s="452"/>
    </row>
    <row r="111" spans="1:17" ht="14.4" thickBot="1">
      <c r="A111" s="482"/>
      <c r="B111" s="491"/>
      <c r="C111" s="508"/>
      <c r="D111" s="484"/>
      <c r="E111" s="484"/>
      <c r="F111" s="484"/>
      <c r="G111" s="508"/>
      <c r="H111" s="510"/>
      <c r="I111" s="510"/>
      <c r="J111" s="510"/>
      <c r="K111" s="510"/>
      <c r="L111" s="510"/>
      <c r="M111" s="511"/>
      <c r="N111" s="930"/>
      <c r="O111" s="930"/>
      <c r="P111" s="42"/>
      <c r="Q111" s="452"/>
    </row>
    <row r="112" spans="1:17" ht="14.4" thickTop="1">
      <c r="A112" s="547"/>
      <c r="B112" s="494">
        <f>B40</f>
        <v>111</v>
      </c>
      <c r="C112" s="471"/>
      <c r="D112" s="471"/>
      <c r="E112" s="471"/>
      <c r="F112" s="471"/>
      <c r="G112" s="535"/>
      <c r="H112" s="535"/>
      <c r="I112" s="535"/>
      <c r="J112" s="535"/>
      <c r="K112" s="471"/>
      <c r="L112" s="472"/>
      <c r="M112" s="538"/>
      <c r="N112" s="929"/>
      <c r="O112" s="929"/>
      <c r="P112" s="42"/>
      <c r="Q112" s="452"/>
    </row>
    <row r="113" spans="1:17" ht="14.4" thickBot="1">
      <c r="A113" s="1924"/>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2"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1827</v>
      </c>
      <c r="B1" s="1219" t="s">
        <v>3335</v>
      </c>
      <c r="C1" s="1220" t="s">
        <v>1658</v>
      </c>
      <c r="D1" s="1221"/>
      <c r="E1" s="3429"/>
      <c r="F1" s="1875"/>
      <c r="G1" s="1223" t="s">
        <v>1763</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30"/>
      <c r="M2" s="2731"/>
      <c r="N2" s="2731"/>
      <c r="O2" s="2731"/>
      <c r="P2" s="1161"/>
      <c r="Q2" s="697"/>
      <c r="R2" s="697"/>
      <c r="S2" s="697"/>
      <c r="T2" s="697"/>
      <c r="U2" s="697"/>
      <c r="V2" s="697"/>
      <c r="W2" s="697"/>
      <c r="X2" s="697"/>
      <c r="Y2" s="697"/>
      <c r="Z2" s="697"/>
      <c r="AA2" s="697"/>
      <c r="AB2" s="697"/>
      <c r="AC2" s="698"/>
    </row>
    <row r="3" spans="1:29" s="351" customFormat="1" ht="28.5" customHeight="1" thickBot="1">
      <c r="A3" s="202" t="s">
        <v>1460</v>
      </c>
      <c r="B3" s="557" t="e">
        <f>IF(AND(C2="——",B37="元/平方米"),C39,ROUND(B2*10000/D3,0))</f>
        <v>#DIV/0!</v>
      </c>
      <c r="C3" s="353" t="s">
        <v>1764</v>
      </c>
      <c r="D3" s="352">
        <f>SUMIF('数据-汇总表'!$C19:$C33,D1,'数据-汇总表'!$E19:$E33)</f>
        <v>0</v>
      </c>
      <c r="E3" s="353" t="s">
        <v>1828</v>
      </c>
      <c r="F3" s="352">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7"/>
      <c r="R3" s="697"/>
      <c r="S3" s="697"/>
      <c r="T3" s="697"/>
      <c r="U3" s="697"/>
      <c r="V3" s="697"/>
      <c r="W3" s="697"/>
      <c r="X3" s="697"/>
      <c r="Y3" s="697"/>
      <c r="Z3" s="697"/>
      <c r="AA3" s="697"/>
      <c r="AB3" s="714"/>
      <c r="AC3" s="711"/>
    </row>
    <row r="4" spans="1:29" ht="14.4">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30" t="s">
        <v>1767</v>
      </c>
      <c r="S4" s="3831"/>
      <c r="T4" s="3830" t="s">
        <v>1768</v>
      </c>
      <c r="U4" s="3831"/>
      <c r="V4" s="3855" t="s">
        <v>1769</v>
      </c>
      <c r="W4" s="3855"/>
      <c r="X4" s="1351"/>
      <c r="Y4" s="3830" t="s">
        <v>1771</v>
      </c>
      <c r="Z4" s="3831"/>
      <c r="AA4" s="3825" t="s">
        <v>1767</v>
      </c>
      <c r="AB4" s="3826" t="s">
        <v>1768</v>
      </c>
      <c r="AC4" s="3825" t="s">
        <v>1769</v>
      </c>
    </row>
    <row r="5" spans="1:29">
      <c r="A5" s="357"/>
      <c r="B5" s="358"/>
      <c r="C5" s="3836" t="s">
        <v>1669</v>
      </c>
      <c r="D5" s="3837"/>
      <c r="E5" s="3834" t="s">
        <v>1670</v>
      </c>
      <c r="F5" s="3835"/>
      <c r="G5" s="3836" t="s">
        <v>1671</v>
      </c>
      <c r="H5" s="3837"/>
      <c r="I5" s="3836" t="s">
        <v>1672</v>
      </c>
      <c r="J5" s="3837"/>
      <c r="K5" s="558"/>
      <c r="L5" s="2711"/>
      <c r="M5" s="2712"/>
      <c r="N5" s="2712"/>
      <c r="O5" s="2712"/>
      <c r="P5" s="3849"/>
      <c r="Q5" s="3850"/>
      <c r="R5" s="3832"/>
      <c r="S5" s="3833"/>
      <c r="T5" s="3832"/>
      <c r="U5" s="3833"/>
      <c r="V5" s="3855"/>
      <c r="W5" s="3855"/>
      <c r="X5" s="1351"/>
      <c r="Y5" s="3832"/>
      <c r="Z5" s="3833"/>
      <c r="AA5" s="3826"/>
      <c r="AB5" s="3826"/>
      <c r="AC5" s="3826"/>
    </row>
    <row r="6" spans="1:29" ht="15" thickBot="1">
      <c r="A6" s="359"/>
      <c r="B6" s="360"/>
      <c r="C6" s="3838" t="s">
        <v>1673</v>
      </c>
      <c r="D6" s="3839"/>
      <c r="E6" s="3840" t="s">
        <v>1673</v>
      </c>
      <c r="F6" s="3841"/>
      <c r="G6" s="3838" t="s">
        <v>1673</v>
      </c>
      <c r="H6" s="3839"/>
      <c r="I6" s="3838" t="s">
        <v>1673</v>
      </c>
      <c r="J6" s="3839"/>
      <c r="K6" s="558" t="s">
        <v>1674</v>
      </c>
      <c r="L6" s="2711"/>
      <c r="M6" s="2712"/>
      <c r="N6" s="2712"/>
      <c r="O6" s="2712"/>
      <c r="P6" s="3851"/>
      <c r="Q6" s="3852"/>
      <c r="R6" s="3832"/>
      <c r="S6" s="3833"/>
      <c r="T6" s="3853"/>
      <c r="U6" s="3854"/>
      <c r="V6" s="3855"/>
      <c r="W6" s="3855"/>
      <c r="X6" s="1351"/>
      <c r="Y6" s="3853"/>
      <c r="Z6" s="3854"/>
      <c r="AA6" s="3827"/>
      <c r="AB6" s="3827"/>
      <c r="AC6" s="3827"/>
    </row>
    <row r="7" spans="1:29" s="108" customFormat="1" ht="15" thickBot="1">
      <c r="A7" s="361" t="s">
        <v>1675</v>
      </c>
      <c r="B7" s="362"/>
      <c r="C7" s="363">
        <f>'数据-取费表'!B2</f>
        <v>45086</v>
      </c>
      <c r="D7" s="364">
        <v>100</v>
      </c>
      <c r="E7" s="365"/>
      <c r="F7" s="366">
        <f>SUMIF(48:48,YEAR(E7)&amp;"-"&amp;MONTH(E7),49:49)</f>
        <v>0</v>
      </c>
      <c r="G7" s="365"/>
      <c r="H7" s="364">
        <f>SUMIF(48:48,YEAR(G7)&amp;"-"&amp;MONTH(G7),49:49)</f>
        <v>0</v>
      </c>
      <c r="I7" s="365"/>
      <c r="J7" s="364">
        <f>SUMIF(48:48,YEAR(I7)&amp;"-"&amp;MONTH(I7),49:49)</f>
        <v>0</v>
      </c>
      <c r="K7" s="559"/>
      <c r="L7" s="2713"/>
      <c r="M7" s="2714"/>
      <c r="N7" s="2714"/>
      <c r="O7" s="2714"/>
      <c r="P7" s="3828" t="s">
        <v>1676</v>
      </c>
      <c r="Q7" s="3856"/>
      <c r="R7" s="699" t="s">
        <v>14</v>
      </c>
      <c r="S7" s="700">
        <f t="shared" ref="S7:S14" si="0">F7</f>
        <v>0</v>
      </c>
      <c r="T7" s="699" t="s">
        <v>14</v>
      </c>
      <c r="U7" s="700">
        <f t="shared" ref="U7:U14" si="1">H7</f>
        <v>0</v>
      </c>
      <c r="V7" s="699" t="s">
        <v>14</v>
      </c>
      <c r="W7" s="700">
        <f t="shared" ref="W7:W14" si="2">J7</f>
        <v>0</v>
      </c>
      <c r="X7" s="701"/>
      <c r="Y7" s="3828" t="s">
        <v>1676</v>
      </c>
      <c r="Z7" s="3829"/>
      <c r="AA7" s="702" t="e">
        <f>D7/F7</f>
        <v>#DIV/0!</v>
      </c>
      <c r="AB7" s="702" t="e">
        <f>D7/H7</f>
        <v>#DIV/0!</v>
      </c>
      <c r="AC7" s="702" t="e">
        <f>D7/J7</f>
        <v>#DIV/0!</v>
      </c>
    </row>
    <row r="8" spans="1:29" s="108" customFormat="1" ht="15" thickBot="1">
      <c r="A8" s="361" t="s">
        <v>1677</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828" t="s">
        <v>1679</v>
      </c>
      <c r="Q8" s="3829"/>
      <c r="R8" s="699" t="s">
        <v>14</v>
      </c>
      <c r="S8" s="700">
        <f t="shared" si="0"/>
        <v>100</v>
      </c>
      <c r="T8" s="699" t="s">
        <v>14</v>
      </c>
      <c r="U8" s="700">
        <f t="shared" si="1"/>
        <v>100</v>
      </c>
      <c r="V8" s="699" t="s">
        <v>14</v>
      </c>
      <c r="W8" s="700">
        <f t="shared" si="2"/>
        <v>100</v>
      </c>
      <c r="X8" s="701"/>
      <c r="Y8" s="3828" t="s">
        <v>1679</v>
      </c>
      <c r="Z8" s="3829"/>
      <c r="AA8" s="702">
        <f t="shared" ref="AA8:AA36" si="3">D8/F8</f>
        <v>1</v>
      </c>
      <c r="AB8" s="702">
        <f t="shared" ref="AB8:AB36" si="4">D8/H8</f>
        <v>1</v>
      </c>
      <c r="AC8" s="702">
        <f t="shared" ref="AC8:AC36" si="5">D8/J8</f>
        <v>1</v>
      </c>
    </row>
    <row r="9" spans="1:29" s="108" customFormat="1" ht="14.4">
      <c r="A9" s="60" t="s">
        <v>1680</v>
      </c>
      <c r="B9" s="587" t="s">
        <v>1681</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860" t="s">
        <v>1682</v>
      </c>
      <c r="Q9" s="1339" t="str">
        <f t="shared" ref="Q9:Q14" si="6">B9</f>
        <v>用途</v>
      </c>
      <c r="R9" s="699" t="s">
        <v>14</v>
      </c>
      <c r="S9" s="700">
        <f t="shared" si="0"/>
        <v>100</v>
      </c>
      <c r="T9" s="699" t="s">
        <v>14</v>
      </c>
      <c r="U9" s="700">
        <f t="shared" si="1"/>
        <v>100</v>
      </c>
      <c r="V9" s="699" t="s">
        <v>14</v>
      </c>
      <c r="W9" s="700">
        <f t="shared" si="2"/>
        <v>100</v>
      </c>
      <c r="X9" s="701"/>
      <c r="Y9" s="3753" t="s">
        <v>1683</v>
      </c>
      <c r="Z9" s="52" t="str">
        <f t="shared" ref="Z9:Z14" si="7">Q9</f>
        <v>用途</v>
      </c>
      <c r="AA9" s="702">
        <f t="shared" si="3"/>
        <v>1</v>
      </c>
      <c r="AB9" s="702">
        <f t="shared" si="4"/>
        <v>1</v>
      </c>
      <c r="AC9" s="702">
        <f t="shared" si="5"/>
        <v>1</v>
      </c>
    </row>
    <row r="10" spans="1:29" s="377" customFormat="1" ht="28.8">
      <c r="A10" s="588"/>
      <c r="B10" s="589" t="s">
        <v>1684</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860"/>
      <c r="Q10" s="1339" t="str">
        <f t="shared" si="6"/>
        <v>土地使用年限（年）</v>
      </c>
      <c r="R10" s="699" t="s">
        <v>14</v>
      </c>
      <c r="S10" s="700">
        <f t="shared" si="0"/>
        <v>100</v>
      </c>
      <c r="T10" s="699" t="s">
        <v>14</v>
      </c>
      <c r="U10" s="700">
        <f t="shared" si="1"/>
        <v>100</v>
      </c>
      <c r="V10" s="699" t="s">
        <v>14</v>
      </c>
      <c r="W10" s="700">
        <f t="shared" si="2"/>
        <v>100</v>
      </c>
      <c r="X10" s="701"/>
      <c r="Y10" s="3753"/>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860"/>
      <c r="Q11" s="1339">
        <f t="shared" si="6"/>
        <v>111</v>
      </c>
      <c r="R11" s="699" t="s">
        <v>14</v>
      </c>
      <c r="S11" s="700">
        <f t="shared" si="0"/>
        <v>100</v>
      </c>
      <c r="T11" s="699" t="s">
        <v>14</v>
      </c>
      <c r="U11" s="700">
        <f t="shared" si="1"/>
        <v>100</v>
      </c>
      <c r="V11" s="699" t="s">
        <v>14</v>
      </c>
      <c r="W11" s="700">
        <f t="shared" si="2"/>
        <v>100</v>
      </c>
      <c r="X11" s="701"/>
      <c r="Y11" s="3753"/>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860"/>
      <c r="Q12" s="1339">
        <f t="shared" si="6"/>
        <v>111</v>
      </c>
      <c r="R12" s="699" t="s">
        <v>14</v>
      </c>
      <c r="S12" s="700">
        <f t="shared" si="0"/>
        <v>100</v>
      </c>
      <c r="T12" s="699" t="s">
        <v>14</v>
      </c>
      <c r="U12" s="700">
        <f t="shared" si="1"/>
        <v>100</v>
      </c>
      <c r="V12" s="699" t="s">
        <v>14</v>
      </c>
      <c r="W12" s="700">
        <f t="shared" si="2"/>
        <v>100</v>
      </c>
      <c r="X12" s="701"/>
      <c r="Y12" s="3753"/>
      <c r="Z12" s="52">
        <f t="shared" si="7"/>
        <v>111</v>
      </c>
      <c r="AA12" s="702">
        <f>D12/F12</f>
        <v>1</v>
      </c>
      <c r="AB12" s="702">
        <f>D12/H12</f>
        <v>1</v>
      </c>
      <c r="AC12" s="702">
        <f>D12/J12</f>
        <v>1</v>
      </c>
    </row>
    <row r="13" spans="1:29" ht="15.6"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860"/>
      <c r="Q13" s="1339">
        <f t="shared" si="6"/>
        <v>111</v>
      </c>
      <c r="R13" s="699" t="s">
        <v>14</v>
      </c>
      <c r="S13" s="700">
        <f t="shared" si="0"/>
        <v>100</v>
      </c>
      <c r="T13" s="699" t="s">
        <v>14</v>
      </c>
      <c r="U13" s="700">
        <f t="shared" si="1"/>
        <v>100</v>
      </c>
      <c r="V13" s="699" t="s">
        <v>14</v>
      </c>
      <c r="W13" s="700">
        <f t="shared" si="2"/>
        <v>100</v>
      </c>
      <c r="X13" s="701"/>
      <c r="Y13" s="3753"/>
      <c r="Z13" s="52">
        <f t="shared" si="7"/>
        <v>111</v>
      </c>
      <c r="AA13" s="702">
        <f t="shared" si="3"/>
        <v>1</v>
      </c>
      <c r="AB13" s="702">
        <f t="shared" si="4"/>
        <v>1</v>
      </c>
      <c r="AC13" s="702">
        <f t="shared" si="5"/>
        <v>1</v>
      </c>
    </row>
    <row r="14" spans="1:29" ht="96.6">
      <c r="A14" s="354" t="s">
        <v>1686</v>
      </c>
      <c r="B14" s="576" t="s">
        <v>1829</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862" t="s">
        <v>1687</v>
      </c>
      <c r="Q14" s="1348" t="str">
        <f t="shared" si="6"/>
        <v>交通便捷度</v>
      </c>
      <c r="R14" s="703" t="s">
        <v>14</v>
      </c>
      <c r="S14" s="704">
        <f t="shared" si="0"/>
        <v>100</v>
      </c>
      <c r="T14" s="703" t="s">
        <v>14</v>
      </c>
      <c r="U14" s="704">
        <f t="shared" si="1"/>
        <v>100</v>
      </c>
      <c r="V14" s="703" t="s">
        <v>14</v>
      </c>
      <c r="W14" s="704">
        <f t="shared" si="2"/>
        <v>100</v>
      </c>
      <c r="X14" s="1351"/>
      <c r="Y14" s="3862" t="s">
        <v>1687</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8"/>
      <c r="M15" s="2712"/>
      <c r="N15" s="2712"/>
      <c r="O15" s="2712"/>
      <c r="P15" s="3863"/>
      <c r="Q15" s="1348"/>
      <c r="R15" s="703"/>
      <c r="S15" s="704"/>
      <c r="T15" s="703"/>
      <c r="U15" s="704"/>
      <c r="V15" s="703"/>
      <c r="W15" s="704"/>
      <c r="X15" s="1351"/>
      <c r="Y15" s="3863"/>
      <c r="Z15" s="1352"/>
      <c r="AA15" s="1349">
        <v>1</v>
      </c>
      <c r="AB15" s="1349">
        <v>1</v>
      </c>
      <c r="AC15" s="1349">
        <v>1</v>
      </c>
    </row>
    <row r="16" spans="1:29" ht="41.4">
      <c r="A16" s="357"/>
      <c r="B16" s="578" t="s">
        <v>1808</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863"/>
      <c r="Q16" s="1348" t="str">
        <f>B16</f>
        <v>公共配套设施</v>
      </c>
      <c r="R16" s="703" t="s">
        <v>14</v>
      </c>
      <c r="S16" s="704">
        <f>F16</f>
        <v>100</v>
      </c>
      <c r="T16" s="703" t="s">
        <v>14</v>
      </c>
      <c r="U16" s="704">
        <f>H16</f>
        <v>100</v>
      </c>
      <c r="V16" s="703" t="s">
        <v>14</v>
      </c>
      <c r="W16" s="704">
        <f>J16</f>
        <v>100</v>
      </c>
      <c r="X16" s="1351"/>
      <c r="Y16" s="3863"/>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8"/>
      <c r="M17" s="2712"/>
      <c r="N17" s="2712"/>
      <c r="O17" s="2712"/>
      <c r="P17" s="3863"/>
      <c r="Q17" s="1348"/>
      <c r="R17" s="703"/>
      <c r="S17" s="704"/>
      <c r="T17" s="703"/>
      <c r="U17" s="704"/>
      <c r="V17" s="703"/>
      <c r="W17" s="704"/>
      <c r="X17" s="1351"/>
      <c r="Y17" s="3863"/>
      <c r="Z17" s="1352"/>
      <c r="AA17" s="1349">
        <v>1</v>
      </c>
      <c r="AB17" s="1349">
        <v>1</v>
      </c>
      <c r="AC17" s="1349">
        <v>1</v>
      </c>
    </row>
    <row r="18" spans="1:29" ht="41.4">
      <c r="A18" s="357"/>
      <c r="B18" s="580" t="s">
        <v>1809</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863"/>
      <c r="Q18" s="1348" t="str">
        <f>B18</f>
        <v>基础设施水平</v>
      </c>
      <c r="R18" s="703" t="s">
        <v>14</v>
      </c>
      <c r="S18" s="704">
        <f>F18</f>
        <v>100</v>
      </c>
      <c r="T18" s="703" t="s">
        <v>14</v>
      </c>
      <c r="U18" s="704">
        <f>H18</f>
        <v>100</v>
      </c>
      <c r="V18" s="703" t="s">
        <v>14</v>
      </c>
      <c r="W18" s="704">
        <f>J18</f>
        <v>100</v>
      </c>
      <c r="X18" s="1351"/>
      <c r="Y18" s="3863"/>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6"/>
      <c r="L19" s="2718"/>
      <c r="M19" s="2712"/>
      <c r="N19" s="2712"/>
      <c r="O19" s="2712"/>
      <c r="P19" s="3863"/>
      <c r="Q19" s="1348"/>
      <c r="R19" s="703"/>
      <c r="S19" s="704"/>
      <c r="T19" s="703"/>
      <c r="U19" s="704"/>
      <c r="V19" s="703"/>
      <c r="W19" s="704"/>
      <c r="X19" s="1351"/>
      <c r="Y19" s="3863"/>
      <c r="Z19" s="1352"/>
      <c r="AA19" s="1349">
        <v>1</v>
      </c>
      <c r="AB19" s="1349">
        <v>1</v>
      </c>
      <c r="AC19" s="1349">
        <v>1</v>
      </c>
    </row>
    <row r="20" spans="1:29" ht="55.2">
      <c r="A20" s="357"/>
      <c r="B20" s="578" t="s">
        <v>1830</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863"/>
      <c r="Q20" s="1348" t="str">
        <f>B20</f>
        <v>自然及人文环境</v>
      </c>
      <c r="R20" s="703" t="s">
        <v>14</v>
      </c>
      <c r="S20" s="704">
        <f>F20</f>
        <v>100</v>
      </c>
      <c r="T20" s="703" t="s">
        <v>14</v>
      </c>
      <c r="U20" s="704">
        <f>H20</f>
        <v>100</v>
      </c>
      <c r="V20" s="703" t="s">
        <v>14</v>
      </c>
      <c r="W20" s="704">
        <f>J20</f>
        <v>100</v>
      </c>
      <c r="X20" s="1351"/>
      <c r="Y20" s="3863"/>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8"/>
      <c r="M21" s="2712"/>
      <c r="N21" s="2712"/>
      <c r="O21" s="2712"/>
      <c r="P21" s="3863"/>
      <c r="Q21" s="1348"/>
      <c r="R21" s="703"/>
      <c r="S21" s="704"/>
      <c r="T21" s="703"/>
      <c r="U21" s="704"/>
      <c r="V21" s="703"/>
      <c r="W21" s="704"/>
      <c r="X21" s="1351"/>
      <c r="Y21" s="3863"/>
      <c r="Z21" s="1352"/>
      <c r="AA21" s="1349">
        <v>1</v>
      </c>
      <c r="AB21" s="1349">
        <v>1</v>
      </c>
      <c r="AC21" s="1349">
        <v>1</v>
      </c>
    </row>
    <row r="22" spans="1:29" ht="15">
      <c r="A22" s="357"/>
      <c r="B22" s="578" t="s">
        <v>1831</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863"/>
      <c r="Q22" s="1348" t="str">
        <f>B22</f>
        <v>楼层</v>
      </c>
      <c r="R22" s="703" t="s">
        <v>14</v>
      </c>
      <c r="S22" s="704">
        <f>F22</f>
        <v>100</v>
      </c>
      <c r="T22" s="703" t="s">
        <v>14</v>
      </c>
      <c r="U22" s="704">
        <f>H22</f>
        <v>100</v>
      </c>
      <c r="V22" s="703" t="s">
        <v>14</v>
      </c>
      <c r="W22" s="704">
        <f>J22</f>
        <v>100</v>
      </c>
      <c r="X22" s="1351"/>
      <c r="Y22" s="3863"/>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863"/>
      <c r="Q23" s="1348">
        <f>B23</f>
        <v>111</v>
      </c>
      <c r="R23" s="703" t="s">
        <v>14</v>
      </c>
      <c r="S23" s="704">
        <f>F23</f>
        <v>100</v>
      </c>
      <c r="T23" s="703" t="s">
        <v>14</v>
      </c>
      <c r="U23" s="704">
        <f>H23</f>
        <v>100</v>
      </c>
      <c r="V23" s="703" t="s">
        <v>14</v>
      </c>
      <c r="W23" s="704">
        <f>J23</f>
        <v>100</v>
      </c>
      <c r="X23" s="1351"/>
      <c r="Y23" s="3863"/>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863"/>
      <c r="Q24" s="1348">
        <f t="shared" ref="Q24:Q36" si="11">B24</f>
        <v>111</v>
      </c>
      <c r="R24" s="703" t="s">
        <v>14</v>
      </c>
      <c r="S24" s="704">
        <f>F24</f>
        <v>100</v>
      </c>
      <c r="T24" s="703" t="s">
        <v>14</v>
      </c>
      <c r="U24" s="704">
        <f>H24</f>
        <v>100</v>
      </c>
      <c r="V24" s="703" t="s">
        <v>14</v>
      </c>
      <c r="W24" s="704">
        <f>J24</f>
        <v>100</v>
      </c>
      <c r="X24" s="1351"/>
      <c r="Y24" s="3863"/>
      <c r="Z24" s="1352">
        <f>Q24</f>
        <v>111</v>
      </c>
      <c r="AA24" s="1349">
        <f t="shared" si="3"/>
        <v>1</v>
      </c>
      <c r="AB24" s="1349">
        <f t="shared" si="4"/>
        <v>1</v>
      </c>
      <c r="AC24" s="1349">
        <f t="shared" si="5"/>
        <v>1</v>
      </c>
    </row>
    <row r="25" spans="1:29" s="108"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863"/>
      <c r="Q25" s="1339">
        <f t="shared" si="11"/>
        <v>111</v>
      </c>
      <c r="R25" s="699" t="s">
        <v>14</v>
      </c>
      <c r="S25" s="700">
        <f>F25</f>
        <v>100</v>
      </c>
      <c r="T25" s="699" t="s">
        <v>14</v>
      </c>
      <c r="U25" s="700">
        <f>H25</f>
        <v>100</v>
      </c>
      <c r="V25" s="699" t="s">
        <v>14</v>
      </c>
      <c r="W25" s="700">
        <f>J25</f>
        <v>100</v>
      </c>
      <c r="X25" s="701"/>
      <c r="Y25" s="3863"/>
      <c r="Z25" s="52">
        <f>Q25</f>
        <v>111</v>
      </c>
      <c r="AA25" s="1349">
        <f>D25/F25</f>
        <v>1</v>
      </c>
      <c r="AB25" s="1349">
        <f>D25/H25</f>
        <v>1</v>
      </c>
      <c r="AC25" s="1349">
        <f>D25/J25</f>
        <v>1</v>
      </c>
    </row>
    <row r="26" spans="1:29" ht="30">
      <c r="A26" s="599" t="s">
        <v>1690</v>
      </c>
      <c r="B26" s="62" t="s">
        <v>1832</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886" t="s">
        <v>1692</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867" t="s">
        <v>1692</v>
      </c>
      <c r="Z26" s="1352" t="str">
        <f t="shared" ref="Z26:Z36" si="15">Q26</f>
        <v>配套类型</v>
      </c>
      <c r="AA26" s="1349" t="e">
        <f t="shared" si="3"/>
        <v>#DIV/0!</v>
      </c>
      <c r="AB26" s="1349" t="e">
        <f t="shared" si="4"/>
        <v>#DIV/0!</v>
      </c>
      <c r="AC26" s="1349" t="e">
        <f t="shared" si="5"/>
        <v>#DIV/0!</v>
      </c>
    </row>
    <row r="27" spans="1:29" s="421" customFormat="1" ht="15">
      <c r="A27" s="600"/>
      <c r="B27" s="601" t="s">
        <v>1833</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867"/>
      <c r="Q27" s="705" t="str">
        <f t="shared" si="11"/>
        <v>项目停车位配比</v>
      </c>
      <c r="R27" s="706" t="s">
        <v>14</v>
      </c>
      <c r="S27" s="707">
        <f t="shared" si="12"/>
        <v>100</v>
      </c>
      <c r="T27" s="706" t="s">
        <v>14</v>
      </c>
      <c r="U27" s="707">
        <f t="shared" si="13"/>
        <v>100</v>
      </c>
      <c r="V27" s="706" t="s">
        <v>14</v>
      </c>
      <c r="W27" s="707">
        <f t="shared" si="14"/>
        <v>100</v>
      </c>
      <c r="X27" s="708"/>
      <c r="Y27" s="3867"/>
      <c r="Z27" s="709" t="str">
        <f t="shared" si="15"/>
        <v>项目停车位配比</v>
      </c>
      <c r="AA27" s="1349">
        <f t="shared" si="3"/>
        <v>1</v>
      </c>
      <c r="AB27" s="1349">
        <f t="shared" si="4"/>
        <v>1</v>
      </c>
      <c r="AC27" s="1349">
        <f t="shared" si="5"/>
        <v>1</v>
      </c>
    </row>
    <row r="28" spans="1:29" ht="15">
      <c r="A28" s="603"/>
      <c r="B28" s="601" t="s">
        <v>1834</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867"/>
      <c r="Q28" s="1348" t="str">
        <f t="shared" si="11"/>
        <v>公共部分装修</v>
      </c>
      <c r="R28" s="703" t="s">
        <v>14</v>
      </c>
      <c r="S28" s="704">
        <f t="shared" si="12"/>
        <v>100</v>
      </c>
      <c r="T28" s="703" t="s">
        <v>14</v>
      </c>
      <c r="U28" s="704">
        <f t="shared" si="13"/>
        <v>100</v>
      </c>
      <c r="V28" s="703" t="s">
        <v>14</v>
      </c>
      <c r="W28" s="704">
        <f t="shared" si="14"/>
        <v>100</v>
      </c>
      <c r="X28" s="1351"/>
      <c r="Y28" s="3867"/>
      <c r="Z28" s="1352" t="str">
        <f t="shared" si="15"/>
        <v>公共部分装修</v>
      </c>
      <c r="AA28" s="1349">
        <f t="shared" si="3"/>
        <v>1</v>
      </c>
      <c r="AB28" s="1349">
        <f t="shared" si="4"/>
        <v>1</v>
      </c>
      <c r="AC28" s="1349">
        <f t="shared" si="5"/>
        <v>1</v>
      </c>
    </row>
    <row r="29" spans="1:29" ht="15">
      <c r="A29" s="603"/>
      <c r="B29" s="601" t="s">
        <v>1835</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867"/>
      <c r="Q29" s="1348" t="str">
        <f t="shared" si="11"/>
        <v>成新率</v>
      </c>
      <c r="R29" s="703" t="s">
        <v>14</v>
      </c>
      <c r="S29" s="704" t="e">
        <f t="shared" si="12"/>
        <v>#N/A</v>
      </c>
      <c r="T29" s="703" t="s">
        <v>14</v>
      </c>
      <c r="U29" s="704" t="e">
        <f t="shared" si="13"/>
        <v>#N/A</v>
      </c>
      <c r="V29" s="703" t="s">
        <v>14</v>
      </c>
      <c r="W29" s="704" t="e">
        <f t="shared" si="14"/>
        <v>#N/A</v>
      </c>
      <c r="X29" s="1351"/>
      <c r="Y29" s="3867"/>
      <c r="Z29" s="1352" t="str">
        <f t="shared" si="15"/>
        <v>成新率</v>
      </c>
      <c r="AA29" s="1349" t="e">
        <f t="shared" si="3"/>
        <v>#N/A</v>
      </c>
      <c r="AB29" s="1349" t="e">
        <f t="shared" si="4"/>
        <v>#N/A</v>
      </c>
      <c r="AC29" s="1349" t="e">
        <f t="shared" si="5"/>
        <v>#N/A</v>
      </c>
    </row>
    <row r="30" spans="1:29" ht="15">
      <c r="A30" s="603"/>
      <c r="B30" s="601" t="s">
        <v>1836</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867"/>
      <c r="Q30" s="1348" t="str">
        <f t="shared" si="11"/>
        <v>物业等级</v>
      </c>
      <c r="R30" s="703" t="s">
        <v>14</v>
      </c>
      <c r="S30" s="704">
        <f t="shared" si="12"/>
        <v>100</v>
      </c>
      <c r="T30" s="703" t="s">
        <v>14</v>
      </c>
      <c r="U30" s="704">
        <f t="shared" si="13"/>
        <v>100</v>
      </c>
      <c r="V30" s="703" t="s">
        <v>14</v>
      </c>
      <c r="W30" s="704">
        <f t="shared" si="14"/>
        <v>100</v>
      </c>
      <c r="X30" s="1351"/>
      <c r="Y30" s="3867"/>
      <c r="Z30" s="1352" t="str">
        <f t="shared" si="15"/>
        <v>物业等级</v>
      </c>
      <c r="AA30" s="1349">
        <f t="shared" si="3"/>
        <v>1</v>
      </c>
      <c r="AB30" s="1349">
        <f t="shared" si="4"/>
        <v>1</v>
      </c>
      <c r="AC30" s="1349">
        <f t="shared" si="5"/>
        <v>1</v>
      </c>
    </row>
    <row r="31" spans="1:29" s="108" customFormat="1" ht="15">
      <c r="A31" s="605"/>
      <c r="B31" s="601" t="s">
        <v>1837</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867"/>
      <c r="Q31" s="1339" t="str">
        <f t="shared" si="11"/>
        <v>停车位面积</v>
      </c>
      <c r="R31" s="699" t="s">
        <v>14</v>
      </c>
      <c r="S31" s="700" t="e">
        <f t="shared" si="12"/>
        <v>#N/A</v>
      </c>
      <c r="T31" s="699" t="s">
        <v>14</v>
      </c>
      <c r="U31" s="700" t="e">
        <f t="shared" si="13"/>
        <v>#N/A</v>
      </c>
      <c r="V31" s="699" t="s">
        <v>14</v>
      </c>
      <c r="W31" s="700" t="e">
        <f t="shared" si="14"/>
        <v>#N/A</v>
      </c>
      <c r="X31" s="701"/>
      <c r="Y31" s="3867"/>
      <c r="Z31" s="52" t="str">
        <f t="shared" si="15"/>
        <v>停车位面积</v>
      </c>
      <c r="AA31" s="702" t="e">
        <f t="shared" si="3"/>
        <v>#N/A</v>
      </c>
      <c r="AB31" s="702" t="e">
        <f t="shared" si="4"/>
        <v>#N/A</v>
      </c>
      <c r="AC31" s="702" t="e">
        <f t="shared" si="5"/>
        <v>#N/A</v>
      </c>
    </row>
    <row r="32" spans="1:29" ht="15">
      <c r="A32" s="603"/>
      <c r="B32" s="601" t="s">
        <v>1838</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867" t="s">
        <v>1692</v>
      </c>
      <c r="Q32" s="1348" t="str">
        <f t="shared" si="11"/>
        <v>车位类型</v>
      </c>
      <c r="R32" s="703" t="s">
        <v>14</v>
      </c>
      <c r="S32" s="704">
        <f t="shared" si="12"/>
        <v>100</v>
      </c>
      <c r="T32" s="703" t="s">
        <v>14</v>
      </c>
      <c r="U32" s="704">
        <f t="shared" si="13"/>
        <v>100</v>
      </c>
      <c r="V32" s="703" t="s">
        <v>14</v>
      </c>
      <c r="W32" s="704">
        <f t="shared" si="14"/>
        <v>100</v>
      </c>
      <c r="X32" s="1351"/>
      <c r="Y32" s="3867" t="s">
        <v>1692</v>
      </c>
      <c r="Z32" s="1352" t="str">
        <f t="shared" si="15"/>
        <v>车位类型</v>
      </c>
      <c r="AA32" s="1349">
        <f t="shared" si="3"/>
        <v>1</v>
      </c>
      <c r="AB32" s="1349">
        <f t="shared" si="4"/>
        <v>1</v>
      </c>
      <c r="AC32" s="1349">
        <f t="shared" si="5"/>
        <v>1</v>
      </c>
    </row>
    <row r="33" spans="1:29" ht="15">
      <c r="A33" s="603"/>
      <c r="B33" s="601" t="s">
        <v>1839</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867"/>
      <c r="Q33" s="1348" t="str">
        <f t="shared" si="11"/>
        <v>是否直接入户</v>
      </c>
      <c r="R33" s="703" t="s">
        <v>14</v>
      </c>
      <c r="S33" s="704">
        <f t="shared" si="12"/>
        <v>100</v>
      </c>
      <c r="T33" s="703" t="s">
        <v>14</v>
      </c>
      <c r="U33" s="704">
        <f t="shared" si="13"/>
        <v>100</v>
      </c>
      <c r="V33" s="703" t="s">
        <v>14</v>
      </c>
      <c r="W33" s="704">
        <f t="shared" si="14"/>
        <v>100</v>
      </c>
      <c r="X33" s="1351"/>
      <c r="Y33" s="3867"/>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867"/>
      <c r="Q34" s="1348">
        <f t="shared" si="11"/>
        <v>111</v>
      </c>
      <c r="R34" s="703" t="s">
        <v>14</v>
      </c>
      <c r="S34" s="704">
        <f t="shared" si="12"/>
        <v>100</v>
      </c>
      <c r="T34" s="703" t="s">
        <v>14</v>
      </c>
      <c r="U34" s="704">
        <f t="shared" si="13"/>
        <v>100</v>
      </c>
      <c r="V34" s="703" t="s">
        <v>14</v>
      </c>
      <c r="W34" s="704">
        <f t="shared" si="14"/>
        <v>100</v>
      </c>
      <c r="X34" s="1351"/>
      <c r="Y34" s="3867"/>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867"/>
      <c r="Q35" s="705">
        <f t="shared" si="11"/>
        <v>111</v>
      </c>
      <c r="R35" s="706" t="s">
        <v>14</v>
      </c>
      <c r="S35" s="707">
        <f t="shared" si="12"/>
        <v>100</v>
      </c>
      <c r="T35" s="706" t="s">
        <v>14</v>
      </c>
      <c r="U35" s="707">
        <f t="shared" si="13"/>
        <v>100</v>
      </c>
      <c r="V35" s="706" t="s">
        <v>14</v>
      </c>
      <c r="W35" s="707">
        <f t="shared" si="14"/>
        <v>100</v>
      </c>
      <c r="X35" s="708"/>
      <c r="Y35" s="3867"/>
      <c r="Z35" s="709">
        <f t="shared" si="15"/>
        <v>111</v>
      </c>
      <c r="AA35" s="1349">
        <f t="shared" si="3"/>
        <v>1</v>
      </c>
      <c r="AB35" s="1349">
        <f t="shared" si="4"/>
        <v>1</v>
      </c>
      <c r="AC35" s="1349">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867"/>
      <c r="Q36" s="1348">
        <f t="shared" si="11"/>
        <v>111</v>
      </c>
      <c r="R36" s="703" t="s">
        <v>14</v>
      </c>
      <c r="S36" s="704">
        <f t="shared" si="12"/>
        <v>100</v>
      </c>
      <c r="T36" s="703" t="s">
        <v>14</v>
      </c>
      <c r="U36" s="704">
        <f t="shared" si="13"/>
        <v>100</v>
      </c>
      <c r="V36" s="703" t="s">
        <v>14</v>
      </c>
      <c r="W36" s="704">
        <f t="shared" si="14"/>
        <v>100</v>
      </c>
      <c r="X36" s="1351"/>
      <c r="Y36" s="3867"/>
      <c r="Z36" s="1352">
        <f t="shared" si="15"/>
        <v>111</v>
      </c>
      <c r="AA36" s="1349">
        <f t="shared" si="3"/>
        <v>1</v>
      </c>
      <c r="AB36" s="1349">
        <f t="shared" si="4"/>
        <v>1</v>
      </c>
      <c r="AC36" s="1349">
        <f t="shared" si="5"/>
        <v>1</v>
      </c>
    </row>
    <row r="37" spans="1:29" ht="14.4">
      <c r="A37" s="429" t="s">
        <v>1840</v>
      </c>
      <c r="B37" s="1969" t="s">
        <v>3355</v>
      </c>
      <c r="C37" s="1150" t="s">
        <v>0</v>
      </c>
      <c r="D37" s="1151"/>
      <c r="E37" s="1152"/>
      <c r="F37" s="1153"/>
      <c r="G37" s="1154"/>
      <c r="H37" s="1155"/>
      <c r="I37" s="1152"/>
      <c r="J37" s="1155"/>
      <c r="K37" s="567"/>
      <c r="L37" s="2720"/>
      <c r="M37" s="2721"/>
      <c r="N37" s="2712"/>
      <c r="O37" s="2721"/>
      <c r="P37" s="3860" t="str">
        <f>A37</f>
        <v>成交单价</v>
      </c>
      <c r="Q37" s="3860"/>
      <c r="R37" s="3861">
        <f>E37</f>
        <v>0</v>
      </c>
      <c r="S37" s="3861"/>
      <c r="T37" s="3861">
        <f>G37</f>
        <v>0</v>
      </c>
      <c r="U37" s="3861"/>
      <c r="V37" s="3861">
        <f>I37</f>
        <v>0</v>
      </c>
      <c r="W37" s="3861"/>
      <c r="X37" s="688"/>
      <c r="Y37" s="710"/>
      <c r="Z37" s="688"/>
      <c r="AA37" s="688"/>
      <c r="AB37" s="688"/>
      <c r="AC37" s="688"/>
    </row>
    <row r="38" spans="1:29" ht="15" thickBot="1">
      <c r="A38" s="436" t="s">
        <v>1841</v>
      </c>
      <c r="B38" s="437" t="str">
        <f>B37</f>
        <v>元/平方米</v>
      </c>
      <c r="C38" s="1156" t="e">
        <f>R39</f>
        <v>#DIV/0!</v>
      </c>
      <c r="D38" s="2313" t="s">
        <v>2134</v>
      </c>
      <c r="E38" s="1157" t="e">
        <f>R38</f>
        <v>#DIV/0!</v>
      </c>
      <c r="F38" s="2314"/>
      <c r="G38" s="1156" t="e">
        <f>T38</f>
        <v>#DIV/0!</v>
      </c>
      <c r="H38" s="2314"/>
      <c r="I38" s="1157" t="e">
        <f>V38</f>
        <v>#DIV/0!</v>
      </c>
      <c r="J38" s="2314"/>
      <c r="K38" s="2316">
        <f>F38+H38+J38</f>
        <v>0</v>
      </c>
      <c r="L38" s="2720"/>
      <c r="M38" s="2721"/>
      <c r="N38" s="2721"/>
      <c r="O38" s="2721"/>
      <c r="P38" s="3860" t="str">
        <f>A38</f>
        <v>比较价值（元/平方米）</v>
      </c>
      <c r="Q38" s="3860"/>
      <c r="R38" s="3861" t="e">
        <f>IF(F1="售价",ROUND(PRODUCT(R37,AA7:AA36),0),ROUND(PRODUCT(R37,AA7:AA36),1))</f>
        <v>#DIV/0!</v>
      </c>
      <c r="S38" s="3861"/>
      <c r="T38" s="3861" t="e">
        <f>IF(F1="售价",ROUND(PRODUCT(T37,AB7:AB36),0),ROUND(PRODUCT(T37,AB7:AB36),1))</f>
        <v>#DIV/0!</v>
      </c>
      <c r="U38" s="3861"/>
      <c r="V38" s="3861" t="e">
        <f>IF(F1="售价",ROUND(PRODUCT(V37,AC7:AC36),0),ROUND(PRODUCT(V37,AC7:AC36),1))</f>
        <v>#DIV/0!</v>
      </c>
      <c r="W38" s="3861"/>
      <c r="X38" s="688"/>
      <c r="Y38" s="688"/>
      <c r="Z38" s="688"/>
      <c r="AA38" s="688"/>
      <c r="AB38" s="688"/>
      <c r="AC38" s="688"/>
    </row>
    <row r="39" spans="1:29" ht="15" thickBot="1">
      <c r="A39" s="440" t="s">
        <v>1842</v>
      </c>
      <c r="B39" s="441"/>
      <c r="C39" s="1159" t="e">
        <f>R39</f>
        <v>#DIV/0!</v>
      </c>
      <c r="D39" s="1159"/>
      <c r="E39" s="1159"/>
      <c r="F39" s="1159"/>
      <c r="G39" s="1159"/>
      <c r="H39" s="1159"/>
      <c r="I39" s="1159"/>
      <c r="J39" s="1159"/>
      <c r="K39" s="568"/>
      <c r="L39" s="2720"/>
      <c r="M39" s="2721"/>
      <c r="N39" s="2721"/>
      <c r="O39" s="2721"/>
      <c r="P39" s="3857" t="str">
        <f>A39</f>
        <v>估价对象XX用房的比较价值（楼面单价，元/平方米）</v>
      </c>
      <c r="Q39" s="3858"/>
      <c r="R39" s="3887" t="e">
        <f>IF(F1="售价",ROUND(IF(D38="简单平均",AVERAGE(R38:W38),R38*F38+T38*H38+V38*J38),0),ROUND(IF(D38="简单平均",AVERAGE(R38:V38),R38*F38+T38*H38+V38*J38),1))</f>
        <v>#DIV/0!</v>
      </c>
      <c r="S39" s="3887"/>
      <c r="T39" s="3887"/>
      <c r="U39" s="3887"/>
      <c r="V39" s="3887"/>
      <c r="W39" s="3887"/>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1843</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1844</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1845</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2" t="s">
        <v>1846</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6" customFormat="1" ht="14.4">
      <c r="A48" s="453" t="s">
        <v>1847</v>
      </c>
      <c r="B48" s="454"/>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55"/>
      <c r="Q48" s="2737"/>
      <c r="R48" s="2737"/>
      <c r="S48" s="2737"/>
      <c r="T48" s="2737"/>
      <c r="U48" s="2737"/>
      <c r="V48" s="2737"/>
      <c r="W48" s="2737"/>
      <c r="X48" s="2737"/>
      <c r="Y48" s="2737"/>
      <c r="Z48" s="2737"/>
      <c r="AA48" s="2737"/>
      <c r="AB48" s="2737"/>
      <c r="AC48" s="2737"/>
    </row>
    <row r="49" spans="1:29" s="108" customFormat="1">
      <c r="A49" s="457"/>
      <c r="B49" s="458"/>
      <c r="C49" s="1173">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 thickBot="1">
      <c r="A50" s="463" t="s">
        <v>1712</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4.4">
      <c r="A51" s="469" t="s">
        <v>1677</v>
      </c>
      <c r="B51" s="458"/>
      <c r="C51" s="470" t="s">
        <v>1772</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4.4"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ht="14.4">
      <c r="A53" s="475" t="s">
        <v>1715</v>
      </c>
      <c r="B53" s="476" t="s">
        <v>1681</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4.4"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9.4" thickTop="1">
      <c r="A55" s="482"/>
      <c r="B55" s="486" t="s">
        <v>1684</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4.4"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4.4"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4.4"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4.4"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4.4"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4.4"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4.4"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1686</v>
      </c>
      <c r="B63" s="476" t="s">
        <v>1722</v>
      </c>
      <c r="C63" s="521" t="s">
        <v>1717</v>
      </c>
      <c r="D63" s="521" t="s">
        <v>1718</v>
      </c>
      <c r="E63" s="521" t="s">
        <v>1719</v>
      </c>
      <c r="F63" s="521" t="s">
        <v>1720</v>
      </c>
      <c r="G63" s="521" t="s">
        <v>1721</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 thickTop="1">
      <c r="A65" s="482"/>
      <c r="B65" s="486" t="s">
        <v>1723</v>
      </c>
      <c r="C65" s="526" t="s">
        <v>1717</v>
      </c>
      <c r="D65" s="526" t="s">
        <v>1718</v>
      </c>
      <c r="E65" s="526" t="s">
        <v>1719</v>
      </c>
      <c r="F65" s="526" t="s">
        <v>1720</v>
      </c>
      <c r="G65" s="526" t="s">
        <v>1721</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 thickTop="1">
      <c r="A67" s="482"/>
      <c r="B67" s="494" t="s">
        <v>1809</v>
      </c>
      <c r="C67" s="607" t="s">
        <v>1795</v>
      </c>
      <c r="D67" s="607" t="s">
        <v>1796</v>
      </c>
      <c r="E67" s="607" t="s">
        <v>1797</v>
      </c>
      <c r="F67" s="607" t="s">
        <v>1798</v>
      </c>
      <c r="G67" s="607" t="s">
        <v>1799</v>
      </c>
      <c r="H67" s="487"/>
      <c r="I67" s="487"/>
      <c r="J67" s="487"/>
      <c r="K67" s="487"/>
      <c r="L67" s="487"/>
      <c r="M67" s="1125"/>
      <c r="N67" s="2750"/>
      <c r="O67" s="2750"/>
      <c r="P67" s="2758"/>
      <c r="Q67" s="2735"/>
      <c r="R67" s="2721"/>
      <c r="S67" s="2721"/>
      <c r="T67" s="2721"/>
      <c r="U67" s="2721"/>
      <c r="V67" s="2721"/>
      <c r="W67" s="2721"/>
      <c r="X67" s="2721"/>
      <c r="Y67" s="2721"/>
      <c r="Z67" s="2721"/>
      <c r="AA67" s="2721"/>
      <c r="AB67" s="2721"/>
      <c r="AC67" s="2721"/>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 thickTop="1">
      <c r="A69" s="482"/>
      <c r="B69" s="486" t="s">
        <v>1729</v>
      </c>
      <c r="C69" s="526" t="s">
        <v>1717</v>
      </c>
      <c r="D69" s="526" t="s">
        <v>1718</v>
      </c>
      <c r="E69" s="526" t="s">
        <v>1719</v>
      </c>
      <c r="F69" s="526" t="s">
        <v>1720</v>
      </c>
      <c r="G69" s="526" t="s">
        <v>1721</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 thickTop="1">
      <c r="A71" s="482"/>
      <c r="B71" s="486" t="s">
        <v>1848</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4.4"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4.4"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4.4"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4.4"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4.4"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4.4"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9.4" thickTop="1">
      <c r="A79" s="475" t="s">
        <v>1690</v>
      </c>
      <c r="B79" s="476" t="s">
        <v>1849</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2"/>
      <c r="B81" s="486" t="s">
        <v>1850</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4.4"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1736</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1851</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1852</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1853</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1854</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1855</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4.4"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4.4"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4.4"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4.4"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4.4"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1827</v>
      </c>
      <c r="B1" s="1219" t="s">
        <v>3336</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t="e">
        <f>IF(C2="——",C37,ROUND(B2*10000/D3,0))</f>
        <v>#DIV/0!</v>
      </c>
      <c r="C3" s="353" t="s">
        <v>1764</v>
      </c>
      <c r="D3" s="352">
        <f>SUMIF('数据-汇总表'!$C19:$C33,D1,'数据-汇总表'!$E19:$E33)</f>
        <v>0</v>
      </c>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4.4">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30" t="s">
        <v>1767</v>
      </c>
      <c r="S4" s="3831"/>
      <c r="T4" s="3830" t="s">
        <v>1768</v>
      </c>
      <c r="U4" s="3831"/>
      <c r="V4" s="3855" t="s">
        <v>1769</v>
      </c>
      <c r="W4" s="3855"/>
      <c r="X4" s="1351"/>
      <c r="Y4" s="3830" t="s">
        <v>1771</v>
      </c>
      <c r="Z4" s="3831"/>
      <c r="AA4" s="3825" t="s">
        <v>1767</v>
      </c>
      <c r="AB4" s="3826" t="s">
        <v>1768</v>
      </c>
      <c r="AC4" s="3825" t="s">
        <v>1769</v>
      </c>
    </row>
    <row r="5" spans="1:29">
      <c r="A5" s="357"/>
      <c r="B5" s="358"/>
      <c r="C5" s="3836" t="s">
        <v>1669</v>
      </c>
      <c r="D5" s="3837"/>
      <c r="E5" s="3834" t="s">
        <v>1670</v>
      </c>
      <c r="F5" s="3835"/>
      <c r="G5" s="3836" t="s">
        <v>1671</v>
      </c>
      <c r="H5" s="3837"/>
      <c r="I5" s="3836" t="s">
        <v>1672</v>
      </c>
      <c r="J5" s="3837"/>
      <c r="K5" s="558"/>
      <c r="L5" s="2711"/>
      <c r="M5" s="2712"/>
      <c r="N5" s="2712"/>
      <c r="O5" s="2712"/>
      <c r="P5" s="3849"/>
      <c r="Q5" s="3850"/>
      <c r="R5" s="3832"/>
      <c r="S5" s="3833"/>
      <c r="T5" s="3832"/>
      <c r="U5" s="3833"/>
      <c r="V5" s="3855"/>
      <c r="W5" s="3855"/>
      <c r="X5" s="1351"/>
      <c r="Y5" s="3832"/>
      <c r="Z5" s="3833"/>
      <c r="AA5" s="3826"/>
      <c r="AB5" s="3826"/>
      <c r="AC5" s="3826"/>
    </row>
    <row r="6" spans="1:29" ht="15" thickBot="1">
      <c r="A6" s="359"/>
      <c r="B6" s="360"/>
      <c r="C6" s="3838" t="s">
        <v>1673</v>
      </c>
      <c r="D6" s="3839"/>
      <c r="E6" s="3840" t="s">
        <v>1673</v>
      </c>
      <c r="F6" s="3841"/>
      <c r="G6" s="3838" t="s">
        <v>1673</v>
      </c>
      <c r="H6" s="3839"/>
      <c r="I6" s="3838" t="s">
        <v>1673</v>
      </c>
      <c r="J6" s="3839"/>
      <c r="K6" s="558" t="s">
        <v>1674</v>
      </c>
      <c r="L6" s="2711"/>
      <c r="M6" s="2712"/>
      <c r="N6" s="2712"/>
      <c r="O6" s="2712"/>
      <c r="P6" s="3851"/>
      <c r="Q6" s="3852"/>
      <c r="R6" s="3832"/>
      <c r="S6" s="3833"/>
      <c r="T6" s="3853"/>
      <c r="U6" s="3854"/>
      <c r="V6" s="3855"/>
      <c r="W6" s="3855"/>
      <c r="X6" s="1351"/>
      <c r="Y6" s="3853"/>
      <c r="Z6" s="3854"/>
      <c r="AA6" s="3827"/>
      <c r="AB6" s="3827"/>
      <c r="AC6" s="3827"/>
    </row>
    <row r="7" spans="1:29" s="108" customFormat="1" ht="15" thickBot="1">
      <c r="A7" s="361" t="s">
        <v>1675</v>
      </c>
      <c r="B7" s="362"/>
      <c r="C7" s="363">
        <f>'数据-取费表'!B2</f>
        <v>45086</v>
      </c>
      <c r="D7" s="364">
        <v>100</v>
      </c>
      <c r="E7" s="365"/>
      <c r="F7" s="366">
        <f>SUMIF(46:46,YEAR(E7)&amp;"-"&amp;MONTH(E7),47:47)</f>
        <v>0</v>
      </c>
      <c r="G7" s="1970"/>
      <c r="H7" s="364">
        <f>SUMIF(46:46,YEAR(G7)&amp;"-"&amp;MONTH(G7),47:47)</f>
        <v>0</v>
      </c>
      <c r="I7" s="365"/>
      <c r="J7" s="364">
        <f>SUMIF(46:46,YEAR(I7)&amp;"-"&amp;MONTH(I7),47:47)</f>
        <v>0</v>
      </c>
      <c r="K7" s="559"/>
      <c r="L7" s="2713"/>
      <c r="M7" s="2714"/>
      <c r="N7" s="2714"/>
      <c r="O7" s="2714"/>
      <c r="P7" s="3828" t="s">
        <v>1676</v>
      </c>
      <c r="Q7" s="3856"/>
      <c r="R7" s="699" t="s">
        <v>14</v>
      </c>
      <c r="S7" s="700">
        <f t="shared" ref="S7:S14" si="0">F7</f>
        <v>0</v>
      </c>
      <c r="T7" s="699" t="s">
        <v>14</v>
      </c>
      <c r="U7" s="700">
        <f t="shared" ref="U7:U14" si="1">H7</f>
        <v>0</v>
      </c>
      <c r="V7" s="699" t="s">
        <v>14</v>
      </c>
      <c r="W7" s="700">
        <f t="shared" ref="W7:W14" si="2">J7</f>
        <v>0</v>
      </c>
      <c r="X7" s="701"/>
      <c r="Y7" s="3828" t="s">
        <v>1676</v>
      </c>
      <c r="Z7" s="3829"/>
      <c r="AA7" s="702" t="e">
        <f>D7/F7</f>
        <v>#DIV/0!</v>
      </c>
      <c r="AB7" s="702" t="e">
        <f>D7/H7</f>
        <v>#DIV/0!</v>
      </c>
      <c r="AC7" s="702" t="e">
        <f>D7/J7</f>
        <v>#DIV/0!</v>
      </c>
    </row>
    <row r="8" spans="1:29" s="108" customFormat="1" ht="15" thickBot="1">
      <c r="A8" s="361" t="s">
        <v>1677</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828" t="s">
        <v>1679</v>
      </c>
      <c r="Q8" s="3829"/>
      <c r="R8" s="699" t="s">
        <v>14</v>
      </c>
      <c r="S8" s="700">
        <f t="shared" si="0"/>
        <v>100</v>
      </c>
      <c r="T8" s="699" t="s">
        <v>14</v>
      </c>
      <c r="U8" s="700">
        <f t="shared" si="1"/>
        <v>100</v>
      </c>
      <c r="V8" s="699" t="s">
        <v>14</v>
      </c>
      <c r="W8" s="700">
        <f t="shared" si="2"/>
        <v>100</v>
      </c>
      <c r="X8" s="701"/>
      <c r="Y8" s="3828" t="s">
        <v>1679</v>
      </c>
      <c r="Z8" s="3829"/>
      <c r="AA8" s="702">
        <f t="shared" ref="AA8:AA34" si="3">D8/F8</f>
        <v>1</v>
      </c>
      <c r="AB8" s="702">
        <f t="shared" ref="AB8:AB34" si="4">D8/H8</f>
        <v>1</v>
      </c>
      <c r="AC8" s="702">
        <f t="shared" ref="AC8:AC34" si="5">D8/J8</f>
        <v>1</v>
      </c>
    </row>
    <row r="9" spans="1:29" s="108" customFormat="1" ht="14.4">
      <c r="A9" s="368" t="s">
        <v>1680</v>
      </c>
      <c r="B9" s="63" t="s">
        <v>1681</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860" t="s">
        <v>1682</v>
      </c>
      <c r="Q9" s="1339" t="str">
        <f t="shared" ref="Q9:Q14" si="6">B9</f>
        <v>用途</v>
      </c>
      <c r="R9" s="699" t="s">
        <v>14</v>
      </c>
      <c r="S9" s="700">
        <f t="shared" si="0"/>
        <v>100</v>
      </c>
      <c r="T9" s="699" t="s">
        <v>14</v>
      </c>
      <c r="U9" s="700">
        <f t="shared" si="1"/>
        <v>100</v>
      </c>
      <c r="V9" s="699" t="s">
        <v>14</v>
      </c>
      <c r="W9" s="700">
        <f t="shared" si="2"/>
        <v>100</v>
      </c>
      <c r="X9" s="701"/>
      <c r="Y9" s="3753" t="s">
        <v>1683</v>
      </c>
      <c r="Z9" s="52" t="str">
        <f t="shared" ref="Z9:Z14" si="7">Q9</f>
        <v>用途</v>
      </c>
      <c r="AA9" s="702">
        <f t="shared" si="3"/>
        <v>1</v>
      </c>
      <c r="AB9" s="702">
        <f t="shared" si="4"/>
        <v>1</v>
      </c>
      <c r="AC9" s="702">
        <f t="shared" si="5"/>
        <v>1</v>
      </c>
    </row>
    <row r="10" spans="1:29" s="377" customFormat="1" ht="28.8">
      <c r="A10" s="373"/>
      <c r="B10" s="374" t="s">
        <v>1684</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860"/>
      <c r="Q10" s="1339" t="str">
        <f t="shared" si="6"/>
        <v>土地使用年限（年）</v>
      </c>
      <c r="R10" s="699" t="s">
        <v>14</v>
      </c>
      <c r="S10" s="700">
        <f t="shared" si="0"/>
        <v>100</v>
      </c>
      <c r="T10" s="699" t="s">
        <v>14</v>
      </c>
      <c r="U10" s="700">
        <f t="shared" si="1"/>
        <v>100</v>
      </c>
      <c r="V10" s="699" t="s">
        <v>14</v>
      </c>
      <c r="W10" s="700">
        <f t="shared" si="2"/>
        <v>100</v>
      </c>
      <c r="X10" s="701"/>
      <c r="Y10" s="3753"/>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860"/>
      <c r="Q11" s="1339">
        <f t="shared" si="6"/>
        <v>111</v>
      </c>
      <c r="R11" s="699" t="s">
        <v>14</v>
      </c>
      <c r="S11" s="700">
        <f t="shared" si="0"/>
        <v>100</v>
      </c>
      <c r="T11" s="699" t="s">
        <v>14</v>
      </c>
      <c r="U11" s="700">
        <f t="shared" si="1"/>
        <v>100</v>
      </c>
      <c r="V11" s="699" t="s">
        <v>14</v>
      </c>
      <c r="W11" s="700">
        <f t="shared" si="2"/>
        <v>100</v>
      </c>
      <c r="X11" s="701"/>
      <c r="Y11" s="3753"/>
      <c r="Z11" s="52">
        <f t="shared" si="7"/>
        <v>111</v>
      </c>
      <c r="AA11" s="702">
        <f t="shared" si="3"/>
        <v>1</v>
      </c>
      <c r="AB11" s="702">
        <f t="shared" si="4"/>
        <v>1</v>
      </c>
      <c r="AC11" s="702">
        <f t="shared" si="5"/>
        <v>1</v>
      </c>
    </row>
    <row r="12" spans="1:29" s="108"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860"/>
      <c r="Q12" s="1339">
        <f t="shared" si="6"/>
        <v>111</v>
      </c>
      <c r="R12" s="699" t="s">
        <v>14</v>
      </c>
      <c r="S12" s="700">
        <f t="shared" si="0"/>
        <v>100</v>
      </c>
      <c r="T12" s="699" t="s">
        <v>14</v>
      </c>
      <c r="U12" s="700">
        <f t="shared" si="1"/>
        <v>100</v>
      </c>
      <c r="V12" s="699" t="s">
        <v>14</v>
      </c>
      <c r="W12" s="700">
        <f t="shared" si="2"/>
        <v>100</v>
      </c>
      <c r="X12" s="701"/>
      <c r="Y12" s="3753"/>
      <c r="Z12" s="52">
        <f t="shared" si="7"/>
        <v>111</v>
      </c>
      <c r="AA12" s="702">
        <f>D12/F12</f>
        <v>1</v>
      </c>
      <c r="AB12" s="702">
        <f>D12/H12</f>
        <v>1</v>
      </c>
      <c r="AC12" s="702">
        <f>D12/J12</f>
        <v>1</v>
      </c>
    </row>
    <row r="13" spans="1:29" ht="15.6"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8"/>
      <c r="M13" s="2712"/>
      <c r="N13" s="2712"/>
      <c r="O13" s="2770"/>
      <c r="P13" s="3860"/>
      <c r="Q13" s="1339">
        <f t="shared" si="6"/>
        <v>111</v>
      </c>
      <c r="R13" s="699" t="s">
        <v>14</v>
      </c>
      <c r="S13" s="700">
        <f t="shared" si="0"/>
        <v>100</v>
      </c>
      <c r="T13" s="699" t="s">
        <v>14</v>
      </c>
      <c r="U13" s="700">
        <f t="shared" si="1"/>
        <v>100</v>
      </c>
      <c r="V13" s="699" t="s">
        <v>14</v>
      </c>
      <c r="W13" s="700">
        <f t="shared" si="2"/>
        <v>100</v>
      </c>
      <c r="X13" s="701"/>
      <c r="Y13" s="3753"/>
      <c r="Z13" s="52">
        <f t="shared" si="7"/>
        <v>111</v>
      </c>
      <c r="AA13" s="702">
        <f t="shared" si="3"/>
        <v>1</v>
      </c>
      <c r="AB13" s="702">
        <f t="shared" si="4"/>
        <v>1</v>
      </c>
      <c r="AC13" s="702">
        <f t="shared" si="5"/>
        <v>1</v>
      </c>
    </row>
    <row r="14" spans="1:29" ht="96.6">
      <c r="A14" s="390" t="s">
        <v>1686</v>
      </c>
      <c r="B14" s="61" t="s">
        <v>1829</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862" t="s">
        <v>1687</v>
      </c>
      <c r="Q14" s="1348" t="str">
        <f t="shared" si="6"/>
        <v>交通便捷度</v>
      </c>
      <c r="R14" s="703" t="s">
        <v>14</v>
      </c>
      <c r="S14" s="704">
        <f t="shared" si="0"/>
        <v>100</v>
      </c>
      <c r="T14" s="703" t="s">
        <v>14</v>
      </c>
      <c r="U14" s="704">
        <f t="shared" si="1"/>
        <v>100</v>
      </c>
      <c r="V14" s="703" t="s">
        <v>14</v>
      </c>
      <c r="W14" s="704">
        <f t="shared" si="2"/>
        <v>100</v>
      </c>
      <c r="X14" s="1351"/>
      <c r="Y14" s="3862" t="s">
        <v>1687</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8"/>
      <c r="M15" s="2712"/>
      <c r="N15" s="2712"/>
      <c r="O15" s="2770"/>
      <c r="P15" s="3863"/>
      <c r="Q15" s="1348"/>
      <c r="R15" s="703"/>
      <c r="S15" s="704"/>
      <c r="T15" s="703"/>
      <c r="U15" s="704"/>
      <c r="V15" s="703"/>
      <c r="W15" s="704"/>
      <c r="X15" s="1351"/>
      <c r="Y15" s="3863"/>
      <c r="Z15" s="1352"/>
      <c r="AA15" s="1349">
        <v>1</v>
      </c>
      <c r="AB15" s="1349">
        <v>1</v>
      </c>
      <c r="AC15" s="1349">
        <v>1</v>
      </c>
    </row>
    <row r="16" spans="1:29" ht="41.4">
      <c r="A16" s="378"/>
      <c r="B16" s="401" t="s">
        <v>1808</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863"/>
      <c r="Q16" s="1348" t="str">
        <f>B16</f>
        <v>公共配套设施</v>
      </c>
      <c r="R16" s="703" t="s">
        <v>14</v>
      </c>
      <c r="S16" s="704">
        <f>F16</f>
        <v>100</v>
      </c>
      <c r="T16" s="703" t="s">
        <v>14</v>
      </c>
      <c r="U16" s="704">
        <f>H16</f>
        <v>100</v>
      </c>
      <c r="V16" s="703" t="s">
        <v>14</v>
      </c>
      <c r="W16" s="704">
        <f>J16</f>
        <v>100</v>
      </c>
      <c r="X16" s="1351"/>
      <c r="Y16" s="3863"/>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8"/>
      <c r="M17" s="2712"/>
      <c r="N17" s="2712"/>
      <c r="O17" s="2770"/>
      <c r="P17" s="3863"/>
      <c r="Q17" s="1348"/>
      <c r="R17" s="703"/>
      <c r="S17" s="704"/>
      <c r="T17" s="703"/>
      <c r="U17" s="704"/>
      <c r="V17" s="703"/>
      <c r="W17" s="704"/>
      <c r="X17" s="1351"/>
      <c r="Y17" s="3863"/>
      <c r="Z17" s="1352"/>
      <c r="AA17" s="1349">
        <v>1</v>
      </c>
      <c r="AB17" s="1349">
        <v>1</v>
      </c>
      <c r="AC17" s="1349">
        <v>1</v>
      </c>
    </row>
    <row r="18" spans="1:29" ht="41.4">
      <c r="A18" s="378"/>
      <c r="B18" s="1127" t="s">
        <v>1809</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863"/>
      <c r="Q18" s="1348" t="str">
        <f>B18</f>
        <v>基础设施水平</v>
      </c>
      <c r="R18" s="703" t="s">
        <v>14</v>
      </c>
      <c r="S18" s="704">
        <f>F18</f>
        <v>100</v>
      </c>
      <c r="T18" s="703" t="s">
        <v>14</v>
      </c>
      <c r="U18" s="704">
        <f>H18</f>
        <v>100</v>
      </c>
      <c r="V18" s="703" t="s">
        <v>14</v>
      </c>
      <c r="W18" s="704">
        <f>J18</f>
        <v>100</v>
      </c>
      <c r="X18" s="1351"/>
      <c r="Y18" s="3863"/>
      <c r="Z18" s="1352" t="str">
        <f>Q18</f>
        <v>基础设施水平</v>
      </c>
      <c r="AA18" s="1349">
        <f t="shared" ref="AA18" si="8">D18/F18</f>
        <v>1</v>
      </c>
      <c r="AB18" s="1349">
        <f t="shared" ref="AB18" si="9">D18/H18</f>
        <v>1</v>
      </c>
      <c r="AC18" s="1349">
        <f t="shared" ref="AC18" si="10">D18/J18</f>
        <v>1</v>
      </c>
    </row>
    <row r="19" spans="1:29" ht="15">
      <c r="A19" s="378"/>
      <c r="B19" s="1127"/>
      <c r="C19" s="1897"/>
      <c r="D19" s="400"/>
      <c r="E19" s="1897"/>
      <c r="F19" s="403"/>
      <c r="G19" s="1897"/>
      <c r="H19" s="398"/>
      <c r="I19" s="397"/>
      <c r="J19" s="398"/>
      <c r="K19" s="1126"/>
      <c r="L19" s="2718"/>
      <c r="M19" s="2712"/>
      <c r="N19" s="2712"/>
      <c r="O19" s="2770"/>
      <c r="P19" s="3863"/>
      <c r="Q19" s="1348"/>
      <c r="R19" s="703"/>
      <c r="S19" s="704"/>
      <c r="T19" s="703"/>
      <c r="U19" s="704"/>
      <c r="V19" s="703"/>
      <c r="W19" s="704"/>
      <c r="X19" s="1351"/>
      <c r="Y19" s="3863"/>
      <c r="Z19" s="1352"/>
      <c r="AA19" s="1349">
        <v>1</v>
      </c>
      <c r="AB19" s="1349">
        <v>1</v>
      </c>
      <c r="AC19" s="1349">
        <v>1</v>
      </c>
    </row>
    <row r="20" spans="1:29" ht="55.2">
      <c r="A20" s="378"/>
      <c r="B20" s="401" t="s">
        <v>1830</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863"/>
      <c r="Q20" s="1348" t="str">
        <f>B20</f>
        <v>自然及人文环境</v>
      </c>
      <c r="R20" s="703" t="s">
        <v>14</v>
      </c>
      <c r="S20" s="704">
        <f>F20</f>
        <v>100</v>
      </c>
      <c r="T20" s="703" t="s">
        <v>14</v>
      </c>
      <c r="U20" s="704">
        <f>H20</f>
        <v>100</v>
      </c>
      <c r="V20" s="703" t="s">
        <v>14</v>
      </c>
      <c r="W20" s="704">
        <f>J20</f>
        <v>100</v>
      </c>
      <c r="X20" s="1351"/>
      <c r="Y20" s="3863"/>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8"/>
      <c r="M21" s="2712"/>
      <c r="N21" s="2712"/>
      <c r="O21" s="2770"/>
      <c r="P21" s="3863"/>
      <c r="Q21" s="1348"/>
      <c r="R21" s="703"/>
      <c r="S21" s="704"/>
      <c r="T21" s="703"/>
      <c r="U21" s="704"/>
      <c r="V21" s="703"/>
      <c r="W21" s="704"/>
      <c r="X21" s="1351"/>
      <c r="Y21" s="3863"/>
      <c r="Z21" s="1352"/>
      <c r="AA21" s="1349">
        <v>1</v>
      </c>
      <c r="AB21" s="1349">
        <v>1</v>
      </c>
      <c r="AC21" s="1349">
        <v>1</v>
      </c>
    </row>
    <row r="22" spans="1:29" ht="15">
      <c r="A22" s="378"/>
      <c r="B22" s="401" t="s">
        <v>1831</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863"/>
      <c r="Q22" s="1348" t="str">
        <f>B22</f>
        <v>楼层</v>
      </c>
      <c r="R22" s="703" t="s">
        <v>14</v>
      </c>
      <c r="S22" s="704">
        <f>F22</f>
        <v>100</v>
      </c>
      <c r="T22" s="703" t="s">
        <v>14</v>
      </c>
      <c r="U22" s="704">
        <f>H22</f>
        <v>100</v>
      </c>
      <c r="V22" s="703" t="s">
        <v>14</v>
      </c>
      <c r="W22" s="704">
        <f>J22</f>
        <v>100</v>
      </c>
      <c r="X22" s="1351"/>
      <c r="Y22" s="3863"/>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863"/>
      <c r="Q23" s="1348">
        <f>B23</f>
        <v>111</v>
      </c>
      <c r="R23" s="703" t="s">
        <v>14</v>
      </c>
      <c r="S23" s="704">
        <f>F23</f>
        <v>100</v>
      </c>
      <c r="T23" s="703" t="s">
        <v>14</v>
      </c>
      <c r="U23" s="704">
        <f>H23</f>
        <v>100</v>
      </c>
      <c r="V23" s="703" t="s">
        <v>14</v>
      </c>
      <c r="W23" s="704">
        <f>J23</f>
        <v>100</v>
      </c>
      <c r="X23" s="1351"/>
      <c r="Y23" s="3863"/>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863"/>
      <c r="Q24" s="1348">
        <f t="shared" ref="Q24:Q34" si="11">B24</f>
        <v>111</v>
      </c>
      <c r="R24" s="703" t="s">
        <v>14</v>
      </c>
      <c r="S24" s="704">
        <f>F24</f>
        <v>100</v>
      </c>
      <c r="T24" s="703" t="s">
        <v>14</v>
      </c>
      <c r="U24" s="704">
        <f>H24</f>
        <v>100</v>
      </c>
      <c r="V24" s="703" t="s">
        <v>14</v>
      </c>
      <c r="W24" s="704">
        <f>J24</f>
        <v>100</v>
      </c>
      <c r="X24" s="1351"/>
      <c r="Y24" s="3863"/>
      <c r="Z24" s="1352">
        <f>Q24</f>
        <v>111</v>
      </c>
      <c r="AA24" s="1349">
        <f t="shared" si="3"/>
        <v>1</v>
      </c>
      <c r="AB24" s="1349">
        <f t="shared" si="4"/>
        <v>1</v>
      </c>
      <c r="AC24" s="1349">
        <f t="shared" si="5"/>
        <v>1</v>
      </c>
    </row>
    <row r="25" spans="1:29" s="108" customFormat="1" ht="15.6"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3"/>
      <c r="M25" s="2714"/>
      <c r="N25" s="2714"/>
      <c r="O25" s="2768"/>
      <c r="P25" s="3863"/>
      <c r="Q25" s="1339">
        <f t="shared" si="11"/>
        <v>111</v>
      </c>
      <c r="R25" s="699" t="s">
        <v>14</v>
      </c>
      <c r="S25" s="700">
        <f>F25</f>
        <v>100</v>
      </c>
      <c r="T25" s="699" t="s">
        <v>14</v>
      </c>
      <c r="U25" s="700">
        <f>H25</f>
        <v>100</v>
      </c>
      <c r="V25" s="699" t="s">
        <v>14</v>
      </c>
      <c r="W25" s="700">
        <f>J25</f>
        <v>100</v>
      </c>
      <c r="X25" s="701"/>
      <c r="Y25" s="3863"/>
      <c r="Z25" s="52">
        <f>Q25</f>
        <v>111</v>
      </c>
      <c r="AA25" s="1349">
        <f>D25/F25</f>
        <v>1</v>
      </c>
      <c r="AB25" s="1349">
        <f>D25/H25</f>
        <v>1</v>
      </c>
      <c r="AC25" s="1349">
        <f>D25/J25</f>
        <v>1</v>
      </c>
    </row>
    <row r="26" spans="1:29" ht="30">
      <c r="A26" s="416" t="s">
        <v>1690</v>
      </c>
      <c r="B26" s="63" t="s">
        <v>1834</v>
      </c>
      <c r="C26" s="1963"/>
      <c r="D26" s="417">
        <v>100</v>
      </c>
      <c r="E26" s="1963"/>
      <c r="F26" s="614">
        <f>SUMIF(77:77,E26,78:78)-SUMIF(77:77,C26,78:78)+100</f>
        <v>100</v>
      </c>
      <c r="G26" s="1963"/>
      <c r="H26" s="417">
        <f>SUMIF(77:77,G26,78:78)-SUMIF(77:77,C26,78:78)+100</f>
        <v>100</v>
      </c>
      <c r="I26" s="1963"/>
      <c r="J26" s="417">
        <f>SUMIF(77:77,I26,78:78)-SUMIF(77:77,C26,78:78)+100</f>
        <v>100</v>
      </c>
      <c r="K26" s="560"/>
      <c r="L26" s="2718"/>
      <c r="M26" s="2712"/>
      <c r="N26" s="2712"/>
      <c r="O26" s="2770"/>
      <c r="P26" s="3886" t="s">
        <v>1692</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867" t="s">
        <v>1692</v>
      </c>
      <c r="Z26" s="1352" t="str">
        <f t="shared" ref="Z26:Z34" si="15">Q26</f>
        <v>公共部分装修</v>
      </c>
      <c r="AA26" s="1349">
        <f t="shared" si="3"/>
        <v>1</v>
      </c>
      <c r="AB26" s="1349">
        <f t="shared" si="4"/>
        <v>1</v>
      </c>
      <c r="AC26" s="1349">
        <f t="shared" si="5"/>
        <v>1</v>
      </c>
    </row>
    <row r="27" spans="1:29" s="421" customFormat="1" ht="15">
      <c r="A27" s="418"/>
      <c r="B27" s="374" t="s">
        <v>1835</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867"/>
      <c r="Q27" s="705" t="str">
        <f t="shared" si="11"/>
        <v>成新率</v>
      </c>
      <c r="R27" s="706" t="s">
        <v>14</v>
      </c>
      <c r="S27" s="707" t="e">
        <f t="shared" si="12"/>
        <v>#N/A</v>
      </c>
      <c r="T27" s="706" t="s">
        <v>14</v>
      </c>
      <c r="U27" s="707" t="e">
        <f t="shared" si="13"/>
        <v>#N/A</v>
      </c>
      <c r="V27" s="706" t="s">
        <v>14</v>
      </c>
      <c r="W27" s="707" t="e">
        <f t="shared" si="14"/>
        <v>#N/A</v>
      </c>
      <c r="X27" s="708"/>
      <c r="Y27" s="3867"/>
      <c r="Z27" s="709" t="str">
        <f t="shared" si="15"/>
        <v>成新率</v>
      </c>
      <c r="AA27" s="1349" t="e">
        <f t="shared" si="3"/>
        <v>#N/A</v>
      </c>
      <c r="AB27" s="1349" t="e">
        <f t="shared" si="4"/>
        <v>#N/A</v>
      </c>
      <c r="AC27" s="1349" t="e">
        <f t="shared" si="5"/>
        <v>#N/A</v>
      </c>
    </row>
    <row r="28" spans="1:29" ht="15">
      <c r="A28" s="422"/>
      <c r="B28" s="374" t="s">
        <v>1836</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867"/>
      <c r="Q28" s="1348" t="str">
        <f t="shared" si="11"/>
        <v>物业等级</v>
      </c>
      <c r="R28" s="703" t="s">
        <v>14</v>
      </c>
      <c r="S28" s="704">
        <f t="shared" si="12"/>
        <v>100</v>
      </c>
      <c r="T28" s="703" t="s">
        <v>14</v>
      </c>
      <c r="U28" s="704">
        <f t="shared" si="13"/>
        <v>100</v>
      </c>
      <c r="V28" s="703" t="s">
        <v>14</v>
      </c>
      <c r="W28" s="704">
        <f t="shared" si="14"/>
        <v>100</v>
      </c>
      <c r="X28" s="1351"/>
      <c r="Y28" s="3867"/>
      <c r="Z28" s="1352" t="str">
        <f t="shared" si="15"/>
        <v>物业等级</v>
      </c>
      <c r="AA28" s="1349">
        <f t="shared" si="3"/>
        <v>1</v>
      </c>
      <c r="AB28" s="1349">
        <f t="shared" si="4"/>
        <v>1</v>
      </c>
      <c r="AC28" s="1349">
        <f t="shared" si="5"/>
        <v>1</v>
      </c>
    </row>
    <row r="29" spans="1:29" ht="15">
      <c r="A29" s="422"/>
      <c r="B29" s="374" t="s">
        <v>1856</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867"/>
      <c r="Q29" s="1348" t="str">
        <f t="shared" si="11"/>
        <v>有无电梯</v>
      </c>
      <c r="R29" s="703" t="s">
        <v>14</v>
      </c>
      <c r="S29" s="704">
        <f t="shared" si="12"/>
        <v>100</v>
      </c>
      <c r="T29" s="703" t="s">
        <v>14</v>
      </c>
      <c r="U29" s="704">
        <f t="shared" si="13"/>
        <v>100</v>
      </c>
      <c r="V29" s="703" t="s">
        <v>14</v>
      </c>
      <c r="W29" s="704">
        <f t="shared" si="14"/>
        <v>100</v>
      </c>
      <c r="X29" s="1351"/>
      <c r="Y29" s="3867"/>
      <c r="Z29" s="1352" t="str">
        <f t="shared" si="15"/>
        <v>有无电梯</v>
      </c>
      <c r="AA29" s="1349">
        <f t="shared" si="3"/>
        <v>1</v>
      </c>
      <c r="AB29" s="1349">
        <f t="shared" si="4"/>
        <v>1</v>
      </c>
      <c r="AC29" s="1349">
        <f t="shared" si="5"/>
        <v>1</v>
      </c>
    </row>
    <row r="30" spans="1:29" ht="15">
      <c r="A30" s="422"/>
      <c r="B30" s="374" t="s">
        <v>1857</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867"/>
      <c r="Q30" s="1348" t="str">
        <f t="shared" si="11"/>
        <v>建筑面积</v>
      </c>
      <c r="R30" s="703" t="s">
        <v>14</v>
      </c>
      <c r="S30" s="704" t="e">
        <f t="shared" si="12"/>
        <v>#N/A</v>
      </c>
      <c r="T30" s="703" t="s">
        <v>14</v>
      </c>
      <c r="U30" s="704" t="e">
        <f t="shared" si="13"/>
        <v>#N/A</v>
      </c>
      <c r="V30" s="703" t="s">
        <v>14</v>
      </c>
      <c r="W30" s="704" t="e">
        <f t="shared" si="14"/>
        <v>#N/A</v>
      </c>
      <c r="X30" s="1351"/>
      <c r="Y30" s="3867"/>
      <c r="Z30" s="1352" t="str">
        <f t="shared" si="15"/>
        <v>建筑面积</v>
      </c>
      <c r="AA30" s="1349" t="e">
        <f t="shared" si="3"/>
        <v>#N/A</v>
      </c>
      <c r="AB30" s="1349" t="e">
        <f t="shared" si="4"/>
        <v>#N/A</v>
      </c>
      <c r="AC30" s="1349" t="e">
        <f t="shared" si="5"/>
        <v>#N/A</v>
      </c>
    </row>
    <row r="31" spans="1:29" s="108" customFormat="1" ht="15">
      <c r="A31" s="423"/>
      <c r="B31" s="374" t="s">
        <v>1858</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867"/>
      <c r="Q31" s="1339" t="str">
        <f t="shared" si="11"/>
        <v>是否封闭</v>
      </c>
      <c r="R31" s="699" t="s">
        <v>14</v>
      </c>
      <c r="S31" s="700">
        <f t="shared" si="12"/>
        <v>100</v>
      </c>
      <c r="T31" s="699" t="s">
        <v>14</v>
      </c>
      <c r="U31" s="700">
        <f t="shared" si="13"/>
        <v>100</v>
      </c>
      <c r="V31" s="699" t="s">
        <v>14</v>
      </c>
      <c r="W31" s="700">
        <f t="shared" si="14"/>
        <v>100</v>
      </c>
      <c r="X31" s="701"/>
      <c r="Y31" s="3867"/>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867" t="s">
        <v>1692</v>
      </c>
      <c r="Q32" s="1348">
        <f t="shared" si="11"/>
        <v>111</v>
      </c>
      <c r="R32" s="703" t="s">
        <v>14</v>
      </c>
      <c r="S32" s="704">
        <f t="shared" si="12"/>
        <v>100</v>
      </c>
      <c r="T32" s="703" t="s">
        <v>14</v>
      </c>
      <c r="U32" s="704">
        <f t="shared" si="13"/>
        <v>100</v>
      </c>
      <c r="V32" s="703" t="s">
        <v>14</v>
      </c>
      <c r="W32" s="704">
        <f t="shared" si="14"/>
        <v>100</v>
      </c>
      <c r="X32" s="1351"/>
      <c r="Y32" s="3867" t="s">
        <v>1692</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867"/>
      <c r="Q33" s="1348">
        <f t="shared" si="11"/>
        <v>111</v>
      </c>
      <c r="R33" s="703" t="s">
        <v>14</v>
      </c>
      <c r="S33" s="704">
        <f t="shared" si="12"/>
        <v>100</v>
      </c>
      <c r="T33" s="703" t="s">
        <v>14</v>
      </c>
      <c r="U33" s="704">
        <f t="shared" si="13"/>
        <v>100</v>
      </c>
      <c r="V33" s="703" t="s">
        <v>14</v>
      </c>
      <c r="W33" s="704">
        <f t="shared" si="14"/>
        <v>100</v>
      </c>
      <c r="X33" s="1351"/>
      <c r="Y33" s="3867"/>
      <c r="Z33" s="1352">
        <f t="shared" si="15"/>
        <v>111</v>
      </c>
      <c r="AA33" s="1349">
        <f t="shared" si="3"/>
        <v>1</v>
      </c>
      <c r="AB33" s="1349">
        <f t="shared" si="4"/>
        <v>1</v>
      </c>
      <c r="AC33" s="1349">
        <f t="shared" si="5"/>
        <v>1</v>
      </c>
    </row>
    <row r="34" spans="1:30" ht="15.6"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8"/>
      <c r="M34" s="2712"/>
      <c r="N34" s="2712"/>
      <c r="O34" s="2770"/>
      <c r="P34" s="3867"/>
      <c r="Q34" s="1348">
        <f t="shared" si="11"/>
        <v>111</v>
      </c>
      <c r="R34" s="703" t="s">
        <v>14</v>
      </c>
      <c r="S34" s="704">
        <f t="shared" si="12"/>
        <v>100</v>
      </c>
      <c r="T34" s="703" t="s">
        <v>14</v>
      </c>
      <c r="U34" s="704">
        <f t="shared" si="13"/>
        <v>100</v>
      </c>
      <c r="V34" s="703" t="s">
        <v>14</v>
      </c>
      <c r="W34" s="704">
        <f t="shared" si="14"/>
        <v>100</v>
      </c>
      <c r="X34" s="1351"/>
      <c r="Y34" s="3867"/>
      <c r="Z34" s="1352">
        <f t="shared" si="15"/>
        <v>111</v>
      </c>
      <c r="AA34" s="1349">
        <f t="shared" si="3"/>
        <v>1</v>
      </c>
      <c r="AB34" s="1349">
        <f t="shared" si="4"/>
        <v>1</v>
      </c>
      <c r="AC34" s="1349">
        <f t="shared" si="5"/>
        <v>1</v>
      </c>
    </row>
    <row r="35" spans="1:30" ht="14.4">
      <c r="A35" s="429" t="s">
        <v>1704</v>
      </c>
      <c r="B35" s="430"/>
      <c r="C35" s="1150" t="s">
        <v>0</v>
      </c>
      <c r="D35" s="1151"/>
      <c r="E35" s="1152"/>
      <c r="F35" s="1153"/>
      <c r="G35" s="1154"/>
      <c r="H35" s="1155"/>
      <c r="I35" s="1152"/>
      <c r="J35" s="1155"/>
      <c r="K35" s="712"/>
      <c r="L35" s="2720"/>
      <c r="M35" s="2721"/>
      <c r="N35" s="2712"/>
      <c r="O35" s="2721"/>
      <c r="P35" s="3860" t="str">
        <f>A35</f>
        <v>成交单价（元/平方米）</v>
      </c>
      <c r="Q35" s="3860"/>
      <c r="R35" s="3861">
        <f>E35</f>
        <v>0</v>
      </c>
      <c r="S35" s="3861"/>
      <c r="T35" s="3861">
        <f>G35</f>
        <v>0</v>
      </c>
      <c r="U35" s="3861"/>
      <c r="V35" s="3861">
        <f>I35</f>
        <v>0</v>
      </c>
      <c r="W35" s="3861"/>
      <c r="X35" s="688"/>
      <c r="Y35" s="710"/>
      <c r="Z35" s="688"/>
      <c r="AA35" s="688"/>
      <c r="AB35" s="688"/>
      <c r="AC35" s="688"/>
    </row>
    <row r="36" spans="1:30" ht="15" thickBot="1">
      <c r="A36" s="436" t="s">
        <v>1789</v>
      </c>
      <c r="B36" s="437"/>
      <c r="C36" s="1156" t="e">
        <f>R37</f>
        <v>#DIV/0!</v>
      </c>
      <c r="D36" s="2313" t="s">
        <v>2134</v>
      </c>
      <c r="E36" s="1157" t="e">
        <f>R36</f>
        <v>#DIV/0!</v>
      </c>
      <c r="F36" s="2314"/>
      <c r="G36" s="1156" t="e">
        <f>T36</f>
        <v>#DIV/0!</v>
      </c>
      <c r="H36" s="2314"/>
      <c r="I36" s="1157" t="e">
        <f>V36</f>
        <v>#DIV/0!</v>
      </c>
      <c r="J36" s="2314"/>
      <c r="K36" s="2316">
        <f>F36+H36+J36</f>
        <v>0</v>
      </c>
      <c r="L36" s="2720"/>
      <c r="M36" s="2721"/>
      <c r="N36" s="2712"/>
      <c r="O36" s="2721"/>
      <c r="P36" s="3860" t="str">
        <f>A36</f>
        <v>比较价值（元/平方米）</v>
      </c>
      <c r="Q36" s="3860"/>
      <c r="R36" s="3861" t="e">
        <f>IF(F1="售价",ROUND(PRODUCT(R35,AA7:AA34),0),ROUND(PRODUCT(R35,AA7:AA34),1))</f>
        <v>#DIV/0!</v>
      </c>
      <c r="S36" s="3861"/>
      <c r="T36" s="3861" t="e">
        <f>IF(F1="售价",ROUND(PRODUCT(T35,AB7:AB34),0),ROUND(PRODUCT(T35,AB7:AB34),1))</f>
        <v>#DIV/0!</v>
      </c>
      <c r="U36" s="3861"/>
      <c r="V36" s="3861" t="e">
        <f>IF(F1="售价",ROUND(PRODUCT(V35,AC7:AC34),0),ROUND(PRODUCT(V35,AC7:AC34),1))</f>
        <v>#DIV/0!</v>
      </c>
      <c r="W36" s="3861"/>
      <c r="X36" s="688"/>
      <c r="Y36" s="688"/>
      <c r="Z36" s="688"/>
      <c r="AA36" s="688"/>
      <c r="AB36" s="688"/>
      <c r="AC36" s="688"/>
    </row>
    <row r="37" spans="1:30" ht="15" thickBot="1">
      <c r="A37" s="440" t="s">
        <v>1790</v>
      </c>
      <c r="B37" s="441"/>
      <c r="C37" s="1159" t="e">
        <f>R37</f>
        <v>#DIV/0!</v>
      </c>
      <c r="D37" s="1159"/>
      <c r="E37" s="1159"/>
      <c r="F37" s="1159"/>
      <c r="G37" s="1159"/>
      <c r="H37" s="1159"/>
      <c r="I37" s="1159"/>
      <c r="J37" s="1159"/>
      <c r="K37" s="713"/>
      <c r="L37" s="2720"/>
      <c r="M37" s="2721"/>
      <c r="N37" s="2721"/>
      <c r="O37" s="2721"/>
      <c r="P37" s="3857" t="str">
        <f>A37</f>
        <v>估价对象XX用房的比较价值（楼面单价，元/平方米）</v>
      </c>
      <c r="Q37" s="3858"/>
      <c r="R37" s="3887" t="e">
        <f>IF(F1="售价",ROUND(IF(D36="简单平均",AVERAGE(R36:W36),R36*F36+T36*H36+V36*J36),0),ROUND(IF(D36="简单平均",AVERAGE(R36:V36),R36*F36+T36*H36+V36*J36),1))</f>
        <v>#DIV/0!</v>
      </c>
      <c r="S37" s="3887"/>
      <c r="T37" s="3887"/>
      <c r="U37" s="3887"/>
      <c r="V37" s="3887"/>
      <c r="W37" s="3887"/>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1791</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1792</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1793</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2" t="s">
        <v>1794</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4.4">
      <c r="A46" s="453" t="s">
        <v>1675</v>
      </c>
      <c r="B46" s="454"/>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72"/>
      <c r="Q46" s="2737"/>
      <c r="R46" s="2737"/>
      <c r="S46" s="2737"/>
      <c r="T46" s="2737"/>
      <c r="U46" s="2737"/>
      <c r="V46" s="2737"/>
      <c r="W46" s="2737"/>
      <c r="X46" s="2737"/>
      <c r="Y46" s="2737"/>
      <c r="Z46" s="2737"/>
      <c r="AA46" s="2737"/>
      <c r="AB46" s="2737"/>
      <c r="AC46" s="2737"/>
      <c r="AD46" s="2737"/>
    </row>
    <row r="47" spans="1:30" s="108" customFormat="1">
      <c r="A47" s="457"/>
      <c r="B47" s="458"/>
      <c r="C47" s="1179">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 thickBot="1">
      <c r="A48" s="463" t="s">
        <v>1712</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4.4">
      <c r="A49" s="469" t="s">
        <v>1677</v>
      </c>
      <c r="B49" s="458"/>
      <c r="C49" s="470" t="s">
        <v>1772</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ht="14.4">
      <c r="A51" s="475" t="s">
        <v>1715</v>
      </c>
      <c r="B51" s="476" t="s">
        <v>1681</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4.4"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9.4" thickTop="1">
      <c r="A53" s="482"/>
      <c r="B53" s="486" t="s">
        <v>1684</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4.4"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4.4"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4.4"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4.4"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4.4"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4.4"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4.4"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1686</v>
      </c>
      <c r="B61" s="476" t="s">
        <v>1722</v>
      </c>
      <c r="C61" s="521" t="s">
        <v>1717</v>
      </c>
      <c r="D61" s="521" t="s">
        <v>1718</v>
      </c>
      <c r="E61" s="521" t="s">
        <v>1719</v>
      </c>
      <c r="F61" s="521" t="s">
        <v>1720</v>
      </c>
      <c r="G61" s="521" t="s">
        <v>1721</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4.4"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9.4" thickTop="1">
      <c r="A63" s="482"/>
      <c r="B63" s="486" t="s">
        <v>1859</v>
      </c>
      <c r="C63" s="526" t="s">
        <v>1717</v>
      </c>
      <c r="D63" s="526" t="s">
        <v>1718</v>
      </c>
      <c r="E63" s="526" t="s">
        <v>1719</v>
      </c>
      <c r="F63" s="526" t="s">
        <v>1720</v>
      </c>
      <c r="G63" s="526" t="s">
        <v>1721</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4.4"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 thickTop="1">
      <c r="A65" s="482"/>
      <c r="B65" s="494" t="s">
        <v>1809</v>
      </c>
      <c r="C65" s="607" t="s">
        <v>1795</v>
      </c>
      <c r="D65" s="607" t="s">
        <v>1796</v>
      </c>
      <c r="E65" s="607" t="s">
        <v>1797</v>
      </c>
      <c r="F65" s="607" t="s">
        <v>1798</v>
      </c>
      <c r="G65" s="607" t="s">
        <v>1799</v>
      </c>
      <c r="H65" s="487"/>
      <c r="I65" s="487"/>
      <c r="J65" s="487"/>
      <c r="K65" s="487"/>
      <c r="L65" s="487"/>
      <c r="M65" s="1125"/>
      <c r="N65" s="2750"/>
      <c r="O65" s="2750"/>
      <c r="P65" s="2774"/>
      <c r="Q65" s="2735"/>
      <c r="R65" s="2721"/>
      <c r="S65" s="2721"/>
      <c r="T65" s="2721"/>
      <c r="U65" s="2721"/>
      <c r="V65" s="2721"/>
      <c r="W65" s="2721"/>
      <c r="X65" s="2721"/>
      <c r="Y65" s="2721"/>
      <c r="Z65" s="2721"/>
      <c r="AA65" s="2721"/>
      <c r="AB65" s="2721"/>
      <c r="AC65" s="2721"/>
      <c r="AD65" s="2721"/>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 thickTop="1">
      <c r="A67" s="482"/>
      <c r="B67" s="486" t="s">
        <v>1729</v>
      </c>
      <c r="C67" s="526" t="s">
        <v>1717</v>
      </c>
      <c r="D67" s="526" t="s">
        <v>1718</v>
      </c>
      <c r="E67" s="526" t="s">
        <v>1719</v>
      </c>
      <c r="F67" s="526" t="s">
        <v>1720</v>
      </c>
      <c r="G67" s="526" t="s">
        <v>1721</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 thickTop="1">
      <c r="A69" s="482"/>
      <c r="B69" s="486" t="s">
        <v>1848</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4.4"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4.4"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4.4"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1690</v>
      </c>
      <c r="B77" s="476" t="s">
        <v>1736</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2"/>
      <c r="B79" s="486" t="s">
        <v>1851</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1852</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1860</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1861</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4.4"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1862</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4.4"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4.4"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4.4"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4.4"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4.4"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4.4"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4.4"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1863</v>
      </c>
      <c r="B1" s="348"/>
      <c r="C1" s="349" t="s">
        <v>1864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1458</v>
      </c>
      <c r="B2" s="618" t="e">
        <f>F65</f>
        <v>#DIV/0!</v>
      </c>
      <c r="C2" s="903"/>
      <c r="D2" s="903"/>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1460</v>
      </c>
      <c r="B3" s="557" t="e">
        <f>ROUND(IF(D3="",B2*10000/'数据-汇总表'!E3,B2*10000/D3),0)</f>
        <v>#DIV/0!</v>
      </c>
      <c r="C3" s="202" t="s">
        <v>1865</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30" ht="14.4">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30" t="s">
        <v>1767</v>
      </c>
      <c r="S4" s="3831"/>
      <c r="T4" s="3830" t="s">
        <v>1768</v>
      </c>
      <c r="U4" s="3831"/>
      <c r="V4" s="3855" t="s">
        <v>1769</v>
      </c>
      <c r="W4" s="3855"/>
      <c r="X4" s="1351"/>
      <c r="Y4" s="3830" t="s">
        <v>1771</v>
      </c>
      <c r="Z4" s="3831"/>
      <c r="AA4" s="3825" t="s">
        <v>1767</v>
      </c>
      <c r="AB4" s="3826" t="s">
        <v>1768</v>
      </c>
      <c r="AC4" s="3825" t="s">
        <v>1769</v>
      </c>
    </row>
    <row r="5" spans="1:30">
      <c r="A5" s="357"/>
      <c r="B5" s="358"/>
      <c r="C5" s="3836" t="s">
        <v>1669</v>
      </c>
      <c r="D5" s="3837"/>
      <c r="E5" s="3834" t="s">
        <v>1670</v>
      </c>
      <c r="F5" s="3835"/>
      <c r="G5" s="3836" t="s">
        <v>1671</v>
      </c>
      <c r="H5" s="3837"/>
      <c r="I5" s="3836" t="s">
        <v>1672</v>
      </c>
      <c r="J5" s="3837"/>
      <c r="K5" s="558"/>
      <c r="L5" s="2711"/>
      <c r="M5" s="2712"/>
      <c r="N5" s="2712"/>
      <c r="O5" s="2712"/>
      <c r="P5" s="3849"/>
      <c r="Q5" s="3850"/>
      <c r="R5" s="3832"/>
      <c r="S5" s="3833"/>
      <c r="T5" s="3832"/>
      <c r="U5" s="3833"/>
      <c r="V5" s="3855"/>
      <c r="W5" s="3855"/>
      <c r="X5" s="1351"/>
      <c r="Y5" s="3832"/>
      <c r="Z5" s="3833"/>
      <c r="AA5" s="3826"/>
      <c r="AB5" s="3826"/>
      <c r="AC5" s="3826"/>
    </row>
    <row r="6" spans="1:30" ht="15" thickBot="1">
      <c r="A6" s="359"/>
      <c r="B6" s="360"/>
      <c r="C6" s="3838" t="s">
        <v>1673</v>
      </c>
      <c r="D6" s="3839"/>
      <c r="E6" s="3840" t="s">
        <v>1673</v>
      </c>
      <c r="F6" s="3841"/>
      <c r="G6" s="3838" t="s">
        <v>1673</v>
      </c>
      <c r="H6" s="3839"/>
      <c r="I6" s="3838" t="s">
        <v>1673</v>
      </c>
      <c r="J6" s="3839"/>
      <c r="K6" s="558" t="s">
        <v>1674</v>
      </c>
      <c r="L6" s="2711"/>
      <c r="M6" s="2712"/>
      <c r="N6" s="2712"/>
      <c r="O6" s="2712"/>
      <c r="P6" s="3851"/>
      <c r="Q6" s="3852"/>
      <c r="R6" s="3832"/>
      <c r="S6" s="3833"/>
      <c r="T6" s="3853"/>
      <c r="U6" s="3854"/>
      <c r="V6" s="3855"/>
      <c r="W6" s="3855"/>
      <c r="X6" s="1351"/>
      <c r="Y6" s="3853"/>
      <c r="Z6" s="3854"/>
      <c r="AA6" s="3827"/>
      <c r="AB6" s="3827"/>
      <c r="AC6" s="3827"/>
    </row>
    <row r="7" spans="1:30" s="108" customFormat="1" ht="15" thickBot="1">
      <c r="A7" s="361" t="s">
        <v>1675</v>
      </c>
      <c r="B7" s="362"/>
      <c r="C7" s="363">
        <f>'数据-取费表'!B2</f>
        <v>45086</v>
      </c>
      <c r="D7" s="364">
        <v>100</v>
      </c>
      <c r="E7" s="365"/>
      <c r="F7" s="366">
        <f>SUMIF(69:69,YEAR(E7)&amp;"-"&amp;INT((MONTH(E7)+2)/3),70:70)</f>
        <v>0</v>
      </c>
      <c r="G7" s="1970"/>
      <c r="H7" s="364">
        <f>SUMIF(69:69,YEAR(G7)&amp;"-"&amp;INT((MONTH(G7)+2)/3),70:70)</f>
        <v>0</v>
      </c>
      <c r="I7" s="1970"/>
      <c r="J7" s="364">
        <f>SUMIF(69:69,YEAR(I7)&amp;"-"&amp;INT((MONTH(I7)+2)/3),70:70)</f>
        <v>0</v>
      </c>
      <c r="K7" s="559"/>
      <c r="L7" s="2713"/>
      <c r="M7" s="2714"/>
      <c r="N7" s="2714"/>
      <c r="O7" s="2714"/>
      <c r="P7" s="3828" t="s">
        <v>1676</v>
      </c>
      <c r="Q7" s="3856"/>
      <c r="R7" s="699" t="s">
        <v>14</v>
      </c>
      <c r="S7" s="700">
        <f t="shared" ref="S7:S15" si="0">F7</f>
        <v>0</v>
      </c>
      <c r="T7" s="699" t="s">
        <v>14</v>
      </c>
      <c r="U7" s="700">
        <f t="shared" ref="U7:U15" si="1">H7</f>
        <v>0</v>
      </c>
      <c r="V7" s="699" t="s">
        <v>14</v>
      </c>
      <c r="W7" s="700">
        <f t="shared" ref="W7:W15" si="2">J7</f>
        <v>0</v>
      </c>
      <c r="X7" s="701"/>
      <c r="Y7" s="3828" t="s">
        <v>1676</v>
      </c>
      <c r="Z7" s="3829"/>
      <c r="AA7" s="702" t="e">
        <f>D7/F7</f>
        <v>#DIV/0!</v>
      </c>
      <c r="AB7" s="702" t="e">
        <f>D7/H7</f>
        <v>#DIV/0!</v>
      </c>
      <c r="AC7" s="702" t="e">
        <f>D7/J7</f>
        <v>#DIV/0!</v>
      </c>
    </row>
    <row r="8" spans="1:30" s="108" customFormat="1" ht="15" thickBot="1">
      <c r="A8" s="361" t="s">
        <v>1677</v>
      </c>
      <c r="B8" s="362"/>
      <c r="C8" s="367" t="s">
        <v>1678</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828" t="s">
        <v>1679</v>
      </c>
      <c r="Q8" s="3829"/>
      <c r="R8" s="699" t="s">
        <v>14</v>
      </c>
      <c r="S8" s="700">
        <f t="shared" si="0"/>
        <v>0</v>
      </c>
      <c r="T8" s="699" t="s">
        <v>14</v>
      </c>
      <c r="U8" s="700">
        <f t="shared" si="1"/>
        <v>0</v>
      </c>
      <c r="V8" s="699" t="s">
        <v>14</v>
      </c>
      <c r="W8" s="700">
        <f t="shared" si="2"/>
        <v>0</v>
      </c>
      <c r="X8" s="701"/>
      <c r="Y8" s="3828" t="s">
        <v>1679</v>
      </c>
      <c r="Z8" s="3829"/>
      <c r="AA8" s="702" t="e">
        <f t="shared" ref="AA8:AA45" si="3">D8/F8</f>
        <v>#DIV/0!</v>
      </c>
      <c r="AB8" s="702" t="e">
        <f t="shared" ref="AB8:AB45" si="4">D8/H8</f>
        <v>#DIV/0!</v>
      </c>
      <c r="AC8" s="702" t="e">
        <f t="shared" ref="AC8:AC45" si="5">D8/J8</f>
        <v>#DIV/0!</v>
      </c>
    </row>
    <row r="9" spans="1:30" s="108" customFormat="1" ht="14.4">
      <c r="A9" s="368" t="s">
        <v>1680</v>
      </c>
      <c r="B9" s="63" t="s">
        <v>1681</v>
      </c>
      <c r="C9" s="1973"/>
      <c r="D9" s="125">
        <v>100</v>
      </c>
      <c r="E9" s="1973"/>
      <c r="F9" s="125">
        <f>SUMIF(74:74,E9,75:75)-SUMIF(74:74,C9,75:75)+100</f>
        <v>100</v>
      </c>
      <c r="G9" s="1973"/>
      <c r="H9" s="125">
        <f>SUMIF(74:74,G9,75:75)-SUMIF(74:74,C9,75:75)+100</f>
        <v>100</v>
      </c>
      <c r="I9" s="1973"/>
      <c r="J9" s="125">
        <f>SUMIF(74:74,I9,75:75)-SUMIF(74:74,C9,75:75)+100</f>
        <v>100</v>
      </c>
      <c r="K9" s="559"/>
      <c r="L9" s="2713"/>
      <c r="M9" s="2714"/>
      <c r="N9" s="2714"/>
      <c r="O9" s="2768"/>
      <c r="P9" s="3860" t="s">
        <v>1682</v>
      </c>
      <c r="Q9" s="1339" t="str">
        <f t="shared" ref="Q9:Q15" si="6">B9</f>
        <v>用途</v>
      </c>
      <c r="R9" s="699" t="s">
        <v>14</v>
      </c>
      <c r="S9" s="700">
        <f t="shared" si="0"/>
        <v>100</v>
      </c>
      <c r="T9" s="699" t="s">
        <v>14</v>
      </c>
      <c r="U9" s="700">
        <f t="shared" si="1"/>
        <v>100</v>
      </c>
      <c r="V9" s="699" t="s">
        <v>14</v>
      </c>
      <c r="W9" s="700">
        <f t="shared" si="2"/>
        <v>100</v>
      </c>
      <c r="X9" s="701"/>
      <c r="Y9" s="3753" t="s">
        <v>1683</v>
      </c>
      <c r="Z9" s="52" t="str">
        <f t="shared" ref="Z9:Z15" si="7">Q9</f>
        <v>用途</v>
      </c>
      <c r="AA9" s="702">
        <f t="shared" si="3"/>
        <v>1</v>
      </c>
      <c r="AB9" s="702">
        <f t="shared" si="4"/>
        <v>1</v>
      </c>
      <c r="AC9" s="702">
        <f t="shared" si="5"/>
        <v>1</v>
      </c>
    </row>
    <row r="10" spans="1:30" s="377" customFormat="1" ht="28.8">
      <c r="A10" s="373"/>
      <c r="B10" s="374" t="s">
        <v>1684</v>
      </c>
      <c r="C10" s="382"/>
      <c r="D10" s="126">
        <v>100</v>
      </c>
      <c r="E10" s="415"/>
      <c r="F10" s="126">
        <f>ROUND(100/'数据-取费表'!G16,0)</f>
        <v>112</v>
      </c>
      <c r="G10" s="413"/>
      <c r="H10" s="126">
        <f>ROUND(100/'数据-取费表'!G16,0)</f>
        <v>112</v>
      </c>
      <c r="I10" s="413"/>
      <c r="J10" s="126">
        <f>ROUND(100/'数据-取费表'!G16,0)</f>
        <v>112</v>
      </c>
      <c r="K10" s="619"/>
      <c r="L10" s="2715"/>
      <c r="M10" s="2716"/>
      <c r="N10" s="2716"/>
      <c r="O10" s="2769"/>
      <c r="P10" s="3860"/>
      <c r="Q10" s="1339" t="str">
        <f t="shared" si="6"/>
        <v>土地使用年限（年）</v>
      </c>
      <c r="R10" s="699" t="s">
        <v>14</v>
      </c>
      <c r="S10" s="700">
        <f t="shared" si="0"/>
        <v>112</v>
      </c>
      <c r="T10" s="699" t="s">
        <v>14</v>
      </c>
      <c r="U10" s="700">
        <f t="shared" si="1"/>
        <v>112</v>
      </c>
      <c r="V10" s="699" t="s">
        <v>14</v>
      </c>
      <c r="W10" s="700">
        <f t="shared" si="2"/>
        <v>112</v>
      </c>
      <c r="X10" s="701"/>
      <c r="Y10" s="3753"/>
      <c r="Z10" s="52" t="str">
        <f t="shared" si="7"/>
        <v>土地使用年限（年）</v>
      </c>
      <c r="AA10" s="702">
        <f t="shared" si="3"/>
        <v>0.8928571428571429</v>
      </c>
      <c r="AB10" s="702">
        <f t="shared" si="4"/>
        <v>0.8928571428571429</v>
      </c>
      <c r="AC10" s="702">
        <f t="shared" si="5"/>
        <v>0.8928571428571429</v>
      </c>
    </row>
    <row r="11" spans="1:30" ht="15">
      <c r="A11" s="378"/>
      <c r="B11" s="374" t="s">
        <v>1685</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860"/>
      <c r="Q11" s="1339" t="str">
        <f t="shared" si="6"/>
        <v>容积率</v>
      </c>
      <c r="R11" s="699" t="s">
        <v>14</v>
      </c>
      <c r="S11" s="700" t="e">
        <f t="shared" si="0"/>
        <v>#N/A</v>
      </c>
      <c r="T11" s="699" t="s">
        <v>14</v>
      </c>
      <c r="U11" s="700" t="e">
        <f t="shared" si="1"/>
        <v>#N/A</v>
      </c>
      <c r="V11" s="699" t="s">
        <v>14</v>
      </c>
      <c r="W11" s="700" t="e">
        <f t="shared" si="2"/>
        <v>#N/A</v>
      </c>
      <c r="X11" s="701"/>
      <c r="Y11" s="3753"/>
      <c r="Z11" s="52" t="str">
        <f t="shared" si="7"/>
        <v>容积率</v>
      </c>
      <c r="AA11" s="702" t="e">
        <f t="shared" si="3"/>
        <v>#N/A</v>
      </c>
      <c r="AB11" s="702" t="e">
        <f t="shared" si="4"/>
        <v>#N/A</v>
      </c>
      <c r="AC11" s="702" t="e">
        <f t="shared" si="5"/>
        <v>#N/A</v>
      </c>
    </row>
    <row r="12" spans="1:30" s="108" customFormat="1" ht="15">
      <c r="A12" s="381"/>
      <c r="B12" s="1889" t="s">
        <v>1866</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860"/>
      <c r="Q12" s="1339" t="str">
        <f t="shared" si="6"/>
        <v>配建</v>
      </c>
      <c r="R12" s="699" t="s">
        <v>14</v>
      </c>
      <c r="S12" s="700">
        <f t="shared" si="0"/>
        <v>100</v>
      </c>
      <c r="T12" s="699" t="s">
        <v>14</v>
      </c>
      <c r="U12" s="700">
        <f t="shared" si="1"/>
        <v>100</v>
      </c>
      <c r="V12" s="699" t="s">
        <v>14</v>
      </c>
      <c r="W12" s="700">
        <f t="shared" si="2"/>
        <v>100</v>
      </c>
      <c r="X12" s="701"/>
      <c r="Y12" s="3753"/>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860"/>
      <c r="Q13" s="1339">
        <f t="shared" si="6"/>
        <v>111</v>
      </c>
      <c r="R13" s="699" t="s">
        <v>14</v>
      </c>
      <c r="S13" s="700">
        <f t="shared" si="0"/>
        <v>100</v>
      </c>
      <c r="T13" s="699" t="s">
        <v>14</v>
      </c>
      <c r="U13" s="700">
        <f t="shared" si="1"/>
        <v>100</v>
      </c>
      <c r="V13" s="699" t="s">
        <v>14</v>
      </c>
      <c r="W13" s="700">
        <f t="shared" si="2"/>
        <v>100</v>
      </c>
      <c r="X13" s="701"/>
      <c r="Y13" s="3753"/>
      <c r="Z13" s="52">
        <f t="shared" si="7"/>
        <v>111</v>
      </c>
      <c r="AA13" s="702">
        <f>D13/F13</f>
        <v>1</v>
      </c>
      <c r="AB13" s="702">
        <f>D13/H13</f>
        <v>1</v>
      </c>
      <c r="AC13" s="702">
        <f>D13/J13</f>
        <v>1</v>
      </c>
    </row>
    <row r="14" spans="1:30" ht="15.6"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860"/>
      <c r="Q14" s="1339">
        <f t="shared" si="6"/>
        <v>111</v>
      </c>
      <c r="R14" s="699" t="s">
        <v>14</v>
      </c>
      <c r="S14" s="700">
        <f t="shared" si="0"/>
        <v>100</v>
      </c>
      <c r="T14" s="699" t="s">
        <v>14</v>
      </c>
      <c r="U14" s="700">
        <f t="shared" si="1"/>
        <v>100</v>
      </c>
      <c r="V14" s="699" t="s">
        <v>14</v>
      </c>
      <c r="W14" s="700">
        <f t="shared" si="2"/>
        <v>100</v>
      </c>
      <c r="X14" s="701"/>
      <c r="Y14" s="3753"/>
      <c r="Z14" s="52">
        <f t="shared" si="7"/>
        <v>111</v>
      </c>
      <c r="AA14" s="702">
        <f>D14/F14</f>
        <v>1</v>
      </c>
      <c r="AB14" s="702">
        <f>D14/H14</f>
        <v>1</v>
      </c>
      <c r="AC14" s="702">
        <f>D14/J14</f>
        <v>1</v>
      </c>
    </row>
    <row r="15" spans="1:30" ht="96.6">
      <c r="A15" s="390" t="s">
        <v>1686</v>
      </c>
      <c r="B15" s="61" t="s">
        <v>1253</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862" t="s">
        <v>1687</v>
      </c>
      <c r="Q15" s="1348" t="str">
        <f t="shared" si="6"/>
        <v>居住社区成熟度</v>
      </c>
      <c r="R15" s="703" t="s">
        <v>14</v>
      </c>
      <c r="S15" s="704">
        <f t="shared" si="0"/>
        <v>100</v>
      </c>
      <c r="T15" s="703" t="s">
        <v>14</v>
      </c>
      <c r="U15" s="704">
        <f t="shared" si="1"/>
        <v>100</v>
      </c>
      <c r="V15" s="703" t="s">
        <v>14</v>
      </c>
      <c r="W15" s="704">
        <f t="shared" si="2"/>
        <v>100</v>
      </c>
      <c r="X15" s="1351"/>
      <c r="Y15" s="3862" t="s">
        <v>1687</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8"/>
      <c r="M16" s="2712"/>
      <c r="N16" s="2712"/>
      <c r="O16" s="2770"/>
      <c r="P16" s="3863"/>
      <c r="Q16" s="1348"/>
      <c r="R16" s="703"/>
      <c r="S16" s="704"/>
      <c r="T16" s="703"/>
      <c r="U16" s="704"/>
      <c r="V16" s="703"/>
      <c r="W16" s="704"/>
      <c r="X16" s="1351"/>
      <c r="Y16" s="3863"/>
      <c r="Z16" s="1352"/>
      <c r="AA16" s="1349">
        <v>1</v>
      </c>
      <c r="AB16" s="1349">
        <v>1</v>
      </c>
      <c r="AC16" s="1349">
        <v>1</v>
      </c>
    </row>
    <row r="17" spans="1:29" ht="82.8">
      <c r="A17" s="378"/>
      <c r="B17" s="401" t="s">
        <v>1773</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863"/>
      <c r="Q17" s="1348" t="str">
        <f>B17</f>
        <v>商业繁华度</v>
      </c>
      <c r="R17" s="703" t="s">
        <v>14</v>
      </c>
      <c r="S17" s="704">
        <f>F17</f>
        <v>100</v>
      </c>
      <c r="T17" s="703" t="s">
        <v>14</v>
      </c>
      <c r="U17" s="704">
        <f>H17</f>
        <v>100</v>
      </c>
      <c r="V17" s="703" t="s">
        <v>14</v>
      </c>
      <c r="W17" s="704">
        <f>J17</f>
        <v>100</v>
      </c>
      <c r="X17" s="1351"/>
      <c r="Y17" s="3863"/>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8"/>
      <c r="M18" s="2712"/>
      <c r="N18" s="2712"/>
      <c r="O18" s="2770"/>
      <c r="P18" s="3863"/>
      <c r="Q18" s="1348"/>
      <c r="R18" s="703"/>
      <c r="S18" s="704"/>
      <c r="T18" s="703"/>
      <c r="U18" s="704"/>
      <c r="V18" s="703"/>
      <c r="W18" s="704"/>
      <c r="X18" s="1351"/>
      <c r="Y18" s="3863"/>
      <c r="Z18" s="1352"/>
      <c r="AA18" s="1349">
        <v>1</v>
      </c>
      <c r="AB18" s="1349">
        <v>1</v>
      </c>
      <c r="AC18" s="1349">
        <v>1</v>
      </c>
    </row>
    <row r="19" spans="1:29" ht="82.8">
      <c r="A19" s="378"/>
      <c r="B19" s="401" t="s">
        <v>1807</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863"/>
      <c r="Q19" s="1348" t="str">
        <f>B19</f>
        <v>办公集聚程度</v>
      </c>
      <c r="R19" s="703" t="s">
        <v>14</v>
      </c>
      <c r="S19" s="704">
        <f>F19</f>
        <v>100</v>
      </c>
      <c r="T19" s="703" t="s">
        <v>14</v>
      </c>
      <c r="U19" s="704">
        <f>H19</f>
        <v>100</v>
      </c>
      <c r="V19" s="703" t="s">
        <v>14</v>
      </c>
      <c r="W19" s="704">
        <f>J19</f>
        <v>100</v>
      </c>
      <c r="X19" s="1351"/>
      <c r="Y19" s="3863"/>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8"/>
      <c r="M20" s="2712"/>
      <c r="N20" s="2712"/>
      <c r="O20" s="2770"/>
      <c r="P20" s="3863"/>
      <c r="Q20" s="1348"/>
      <c r="R20" s="703"/>
      <c r="S20" s="704"/>
      <c r="T20" s="703"/>
      <c r="U20" s="704"/>
      <c r="V20" s="703"/>
      <c r="W20" s="704"/>
      <c r="X20" s="1351"/>
      <c r="Y20" s="3863"/>
      <c r="Z20" s="1352"/>
      <c r="AA20" s="1349">
        <v>1</v>
      </c>
      <c r="AB20" s="1349">
        <v>1</v>
      </c>
      <c r="AC20" s="1349">
        <v>1</v>
      </c>
    </row>
    <row r="21" spans="1:29" ht="96.6">
      <c r="A21" s="378"/>
      <c r="B21" s="401" t="s">
        <v>1829</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863"/>
      <c r="Q21" s="1348" t="str">
        <f>B21</f>
        <v>交通便捷度</v>
      </c>
      <c r="R21" s="703" t="s">
        <v>14</v>
      </c>
      <c r="S21" s="704">
        <f>F21</f>
        <v>100</v>
      </c>
      <c r="T21" s="703" t="s">
        <v>14</v>
      </c>
      <c r="U21" s="704">
        <f>H21</f>
        <v>100</v>
      </c>
      <c r="V21" s="703" t="s">
        <v>14</v>
      </c>
      <c r="W21" s="704">
        <f>J21</f>
        <v>100</v>
      </c>
      <c r="X21" s="1351"/>
      <c r="Y21" s="3863"/>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9"/>
      <c r="L22" s="2718"/>
      <c r="M22" s="2712"/>
      <c r="N22" s="2712"/>
      <c r="O22" s="2770"/>
      <c r="P22" s="3863"/>
      <c r="Q22" s="1348"/>
      <c r="R22" s="703"/>
      <c r="S22" s="704"/>
      <c r="T22" s="703"/>
      <c r="U22" s="704"/>
      <c r="V22" s="703"/>
      <c r="W22" s="704"/>
      <c r="X22" s="1351"/>
      <c r="Y22" s="3863"/>
      <c r="Z22" s="1352"/>
      <c r="AA22" s="1349">
        <v>1</v>
      </c>
      <c r="AB22" s="1349">
        <v>1</v>
      </c>
      <c r="AC22" s="1349">
        <v>1</v>
      </c>
    </row>
    <row r="23" spans="1:29" ht="28.8">
      <c r="A23" s="357"/>
      <c r="B23" s="401" t="s">
        <v>1867</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863"/>
      <c r="Q23" s="1348" t="str">
        <f t="shared" ref="Q23:Q37" si="8">B23</f>
        <v>区域土地利用方向</v>
      </c>
      <c r="R23" s="703" t="s">
        <v>14</v>
      </c>
      <c r="S23" s="704">
        <f>F23</f>
        <v>100</v>
      </c>
      <c r="T23" s="703" t="s">
        <v>14</v>
      </c>
      <c r="U23" s="704">
        <f>H23</f>
        <v>100</v>
      </c>
      <c r="V23" s="703" t="s">
        <v>14</v>
      </c>
      <c r="W23" s="704">
        <f>J23</f>
        <v>100</v>
      </c>
      <c r="X23" s="1351"/>
      <c r="Y23" s="3863"/>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6"/>
      <c r="L24" s="2718"/>
      <c r="M24" s="2712"/>
      <c r="N24" s="2712"/>
      <c r="O24" s="2770"/>
      <c r="P24" s="3863"/>
      <c r="Q24" s="1348"/>
      <c r="R24" s="703"/>
      <c r="S24" s="704"/>
      <c r="T24" s="703"/>
      <c r="U24" s="704"/>
      <c r="V24" s="703"/>
      <c r="W24" s="704"/>
      <c r="X24" s="1351"/>
      <c r="Y24" s="3863"/>
      <c r="Z24" s="1352"/>
      <c r="AA24" s="1349"/>
      <c r="AB24" s="1349"/>
      <c r="AC24" s="1349"/>
    </row>
    <row r="25" spans="1:29" ht="55.2">
      <c r="A25" s="357"/>
      <c r="B25" s="1127" t="s">
        <v>1868</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863"/>
      <c r="Q25" s="1348" t="str">
        <f t="shared" si="8"/>
        <v>自然及人文环境状况</v>
      </c>
      <c r="R25" s="703" t="s">
        <v>14</v>
      </c>
      <c r="S25" s="704">
        <f>F25</f>
        <v>100</v>
      </c>
      <c r="T25" s="703" t="s">
        <v>14</v>
      </c>
      <c r="U25" s="704">
        <f>H25</f>
        <v>100</v>
      </c>
      <c r="V25" s="703" t="s">
        <v>14</v>
      </c>
      <c r="W25" s="704">
        <f>J25</f>
        <v>100</v>
      </c>
      <c r="X25" s="1351"/>
      <c r="Y25" s="3863"/>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8"/>
      <c r="M26" s="2712"/>
      <c r="N26" s="2712"/>
      <c r="O26" s="2770"/>
      <c r="P26" s="3863"/>
      <c r="Q26" s="1348"/>
      <c r="R26" s="703"/>
      <c r="S26" s="704"/>
      <c r="T26" s="703"/>
      <c r="U26" s="704"/>
      <c r="V26" s="703"/>
      <c r="W26" s="704"/>
      <c r="X26" s="1351"/>
      <c r="Y26" s="3863"/>
      <c r="Z26" s="1352"/>
      <c r="AA26" s="1349">
        <v>1</v>
      </c>
      <c r="AB26" s="1349">
        <v>1</v>
      </c>
      <c r="AC26" s="1349">
        <v>1</v>
      </c>
    </row>
    <row r="27" spans="1:29" s="108" customFormat="1" ht="41.4">
      <c r="A27" s="596"/>
      <c r="B27" s="1127" t="s">
        <v>1774</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863"/>
      <c r="Q27" s="1339" t="str">
        <f t="shared" si="8"/>
        <v>公共配套设施</v>
      </c>
      <c r="R27" s="699" t="s">
        <v>14</v>
      </c>
      <c r="S27" s="700">
        <f>F27</f>
        <v>100</v>
      </c>
      <c r="T27" s="699" t="s">
        <v>14</v>
      </c>
      <c r="U27" s="700">
        <f>H27</f>
        <v>100</v>
      </c>
      <c r="V27" s="699" t="s">
        <v>14</v>
      </c>
      <c r="W27" s="700">
        <f>J27</f>
        <v>100</v>
      </c>
      <c r="X27" s="701"/>
      <c r="Y27" s="3863"/>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3"/>
      <c r="M28" s="2714"/>
      <c r="N28" s="2714"/>
      <c r="O28" s="2768"/>
      <c r="P28" s="3863"/>
      <c r="Q28" s="1339"/>
      <c r="R28" s="699"/>
      <c r="S28" s="700"/>
      <c r="T28" s="699"/>
      <c r="U28" s="700"/>
      <c r="V28" s="699"/>
      <c r="W28" s="700"/>
      <c r="X28" s="701"/>
      <c r="Y28" s="3863"/>
      <c r="Z28" s="52"/>
      <c r="AA28" s="1349">
        <v>1</v>
      </c>
      <c r="AB28" s="1349">
        <v>1</v>
      </c>
      <c r="AC28" s="1349">
        <v>1</v>
      </c>
    </row>
    <row r="29" spans="1:29" s="108" customFormat="1" ht="41.4">
      <c r="A29" s="596"/>
      <c r="B29" s="1127" t="s">
        <v>1775</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863"/>
      <c r="Q29" s="1339" t="str">
        <f t="shared" ref="Q29" si="9">B29</f>
        <v>基础设施水平</v>
      </c>
      <c r="R29" s="699" t="s">
        <v>14</v>
      </c>
      <c r="S29" s="700">
        <f>F29</f>
        <v>100</v>
      </c>
      <c r="T29" s="699" t="s">
        <v>14</v>
      </c>
      <c r="U29" s="700">
        <f>H29</f>
        <v>100</v>
      </c>
      <c r="V29" s="699" t="s">
        <v>14</v>
      </c>
      <c r="W29" s="700">
        <f>J29</f>
        <v>100</v>
      </c>
      <c r="X29" s="701"/>
      <c r="Y29" s="3863"/>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3"/>
      <c r="M30" s="2714"/>
      <c r="N30" s="2714"/>
      <c r="O30" s="2768"/>
      <c r="P30" s="3863"/>
      <c r="Q30" s="1339"/>
      <c r="R30" s="699"/>
      <c r="S30" s="700"/>
      <c r="T30" s="699"/>
      <c r="U30" s="700"/>
      <c r="V30" s="699"/>
      <c r="W30" s="700"/>
      <c r="X30" s="701"/>
      <c r="Y30" s="3863"/>
      <c r="Z30" s="52"/>
      <c r="AA30" s="1349">
        <v>1</v>
      </c>
      <c r="AB30" s="1349">
        <v>1</v>
      </c>
      <c r="AC30" s="1349">
        <v>1</v>
      </c>
    </row>
    <row r="31" spans="1:29" ht="15">
      <c r="A31" s="378"/>
      <c r="B31" s="406" t="s">
        <v>1776</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863"/>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863"/>
      <c r="Z31" s="1352" t="str">
        <f t="shared" ref="Z31:Z45" si="13">Q31</f>
        <v>临街状况</v>
      </c>
      <c r="AA31" s="1349">
        <f t="shared" si="3"/>
        <v>1</v>
      </c>
      <c r="AB31" s="1349">
        <f t="shared" si="4"/>
        <v>1</v>
      </c>
      <c r="AC31" s="1349">
        <f t="shared" si="5"/>
        <v>1</v>
      </c>
    </row>
    <row r="32" spans="1:29" ht="28.8">
      <c r="A32" s="378"/>
      <c r="B32" s="1127" t="s">
        <v>1811</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863"/>
      <c r="Q32" s="1348" t="str">
        <f t="shared" si="8"/>
        <v>毗邻道路的类型与等级</v>
      </c>
      <c r="R32" s="703" t="s">
        <v>14</v>
      </c>
      <c r="S32" s="704">
        <f t="shared" si="10"/>
        <v>100</v>
      </c>
      <c r="T32" s="703" t="s">
        <v>14</v>
      </c>
      <c r="U32" s="704">
        <f t="shared" si="11"/>
        <v>100</v>
      </c>
      <c r="V32" s="703" t="s">
        <v>14</v>
      </c>
      <c r="W32" s="704">
        <f t="shared" si="12"/>
        <v>100</v>
      </c>
      <c r="X32" s="1351"/>
      <c r="Y32" s="3863"/>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8"/>
      <c r="M33" s="2712"/>
      <c r="N33" s="2712"/>
      <c r="O33" s="2770"/>
      <c r="P33" s="3863"/>
      <c r="Q33" s="1348"/>
      <c r="R33" s="703"/>
      <c r="S33" s="704"/>
      <c r="T33" s="703"/>
      <c r="U33" s="704"/>
      <c r="V33" s="703"/>
      <c r="W33" s="704"/>
      <c r="X33" s="1351"/>
      <c r="Y33" s="3863"/>
      <c r="Z33" s="1352"/>
      <c r="AA33" s="1349">
        <v>1</v>
      </c>
      <c r="AB33" s="1349">
        <v>1</v>
      </c>
      <c r="AC33" s="1349">
        <v>1</v>
      </c>
    </row>
    <row r="34" spans="1:29" ht="15">
      <c r="A34" s="378"/>
      <c r="B34" s="374" t="s">
        <v>1869</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863"/>
      <c r="Q34" s="1348" t="str">
        <f t="shared" si="8"/>
        <v>土地级别</v>
      </c>
      <c r="R34" s="703" t="s">
        <v>14</v>
      </c>
      <c r="S34" s="704">
        <f t="shared" si="10"/>
        <v>100</v>
      </c>
      <c r="T34" s="703" t="s">
        <v>14</v>
      </c>
      <c r="U34" s="704">
        <f t="shared" si="11"/>
        <v>100</v>
      </c>
      <c r="V34" s="703" t="s">
        <v>14</v>
      </c>
      <c r="W34" s="704">
        <f t="shared" si="12"/>
        <v>100</v>
      </c>
      <c r="X34" s="1351"/>
      <c r="Y34" s="3863"/>
      <c r="Z34" s="1352" t="str">
        <f t="shared" si="13"/>
        <v>土地级别</v>
      </c>
      <c r="AA34" s="1349">
        <f t="shared" si="3"/>
        <v>1</v>
      </c>
      <c r="AB34" s="1349">
        <f t="shared" si="4"/>
        <v>1</v>
      </c>
      <c r="AC34" s="1349">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863"/>
      <c r="Q35" s="1348">
        <f t="shared" si="8"/>
        <v>111</v>
      </c>
      <c r="R35" s="703" t="s">
        <v>14</v>
      </c>
      <c r="S35" s="704">
        <f t="shared" si="10"/>
        <v>100</v>
      </c>
      <c r="T35" s="703" t="s">
        <v>14</v>
      </c>
      <c r="U35" s="704">
        <f t="shared" si="11"/>
        <v>100</v>
      </c>
      <c r="V35" s="703" t="s">
        <v>14</v>
      </c>
      <c r="W35" s="704">
        <f t="shared" si="12"/>
        <v>100</v>
      </c>
      <c r="X35" s="1351"/>
      <c r="Y35" s="3863"/>
      <c r="Z35" s="1352">
        <f t="shared" si="13"/>
        <v>111</v>
      </c>
      <c r="AA35" s="1349">
        <f t="shared" si="3"/>
        <v>1</v>
      </c>
      <c r="AB35" s="1349">
        <f t="shared" si="4"/>
        <v>1</v>
      </c>
      <c r="AC35" s="1349">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886" t="s">
        <v>1692</v>
      </c>
      <c r="Q36" s="1348">
        <f t="shared" si="8"/>
        <v>111</v>
      </c>
      <c r="R36" s="703" t="s">
        <v>14</v>
      </c>
      <c r="S36" s="704">
        <f t="shared" si="10"/>
        <v>100</v>
      </c>
      <c r="T36" s="703" t="s">
        <v>14</v>
      </c>
      <c r="U36" s="704">
        <f t="shared" si="11"/>
        <v>100</v>
      </c>
      <c r="V36" s="703" t="s">
        <v>14</v>
      </c>
      <c r="W36" s="704">
        <f t="shared" si="12"/>
        <v>100</v>
      </c>
      <c r="X36" s="1351"/>
      <c r="Y36" s="3867" t="s">
        <v>1692</v>
      </c>
      <c r="Z36" s="1352">
        <f t="shared" si="13"/>
        <v>111</v>
      </c>
      <c r="AA36" s="1349">
        <f t="shared" si="3"/>
        <v>1</v>
      </c>
      <c r="AB36" s="1349">
        <f t="shared" si="4"/>
        <v>1</v>
      </c>
      <c r="AC36" s="1349">
        <f t="shared" si="5"/>
        <v>1</v>
      </c>
    </row>
    <row r="37" spans="1:29" s="421" customFormat="1" ht="15.6"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867"/>
      <c r="Q37" s="1348">
        <f t="shared" si="8"/>
        <v>111</v>
      </c>
      <c r="R37" s="706" t="s">
        <v>14</v>
      </c>
      <c r="S37" s="707">
        <f t="shared" si="10"/>
        <v>100</v>
      </c>
      <c r="T37" s="706" t="s">
        <v>14</v>
      </c>
      <c r="U37" s="707">
        <f t="shared" si="11"/>
        <v>100</v>
      </c>
      <c r="V37" s="706" t="s">
        <v>14</v>
      </c>
      <c r="W37" s="707">
        <f t="shared" si="12"/>
        <v>100</v>
      </c>
      <c r="X37" s="708"/>
      <c r="Y37" s="3867"/>
      <c r="Z37" s="709">
        <f t="shared" si="13"/>
        <v>111</v>
      </c>
      <c r="AA37" s="1349">
        <f t="shared" si="3"/>
        <v>1</v>
      </c>
      <c r="AB37" s="1349">
        <f t="shared" si="4"/>
        <v>1</v>
      </c>
      <c r="AC37" s="1349">
        <f t="shared" si="5"/>
        <v>1</v>
      </c>
    </row>
    <row r="38" spans="1:29" ht="15.6">
      <c r="A38" s="422" t="s">
        <v>1690</v>
      </c>
      <c r="B38" s="406" t="s">
        <v>1870</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867"/>
      <c r="Q38" s="1348" t="str">
        <f>B38</f>
        <v>宗地面积</v>
      </c>
      <c r="R38" s="703" t="s">
        <v>14</v>
      </c>
      <c r="S38" s="704" t="e">
        <f t="shared" si="10"/>
        <v>#N/A</v>
      </c>
      <c r="T38" s="703" t="s">
        <v>14</v>
      </c>
      <c r="U38" s="704" t="e">
        <f t="shared" si="11"/>
        <v>#N/A</v>
      </c>
      <c r="V38" s="703" t="s">
        <v>14</v>
      </c>
      <c r="W38" s="704" t="e">
        <f t="shared" si="12"/>
        <v>#N/A</v>
      </c>
      <c r="X38" s="1351"/>
      <c r="Y38" s="3867"/>
      <c r="Z38" s="1352" t="str">
        <f t="shared" si="13"/>
        <v>宗地面积</v>
      </c>
      <c r="AA38" s="1349" t="e">
        <f t="shared" si="3"/>
        <v>#N/A</v>
      </c>
      <c r="AB38" s="1349" t="e">
        <f t="shared" si="4"/>
        <v>#N/A</v>
      </c>
      <c r="AC38" s="1349" t="e">
        <f t="shared" si="5"/>
        <v>#N/A</v>
      </c>
    </row>
    <row r="39" spans="1:29" ht="15">
      <c r="A39" s="422"/>
      <c r="B39" s="374" t="s">
        <v>1871</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8"/>
      <c r="M39" s="2712"/>
      <c r="N39" s="2712"/>
      <c r="O39" s="2770"/>
      <c r="P39" s="3867"/>
      <c r="Q39" s="1348" t="str">
        <f t="shared" ref="Q39:Q45" si="14">B39</f>
        <v>宗地形状</v>
      </c>
      <c r="R39" s="703" t="s">
        <v>14</v>
      </c>
      <c r="S39" s="704">
        <f t="shared" si="10"/>
        <v>100</v>
      </c>
      <c r="T39" s="703" t="s">
        <v>14</v>
      </c>
      <c r="U39" s="704">
        <f t="shared" si="11"/>
        <v>100</v>
      </c>
      <c r="V39" s="703" t="s">
        <v>14</v>
      </c>
      <c r="W39" s="704">
        <f t="shared" si="12"/>
        <v>100</v>
      </c>
      <c r="X39" s="1351"/>
      <c r="Y39" s="3867"/>
      <c r="Z39" s="1352" t="str">
        <f t="shared" si="13"/>
        <v>宗地形状</v>
      </c>
      <c r="AA39" s="1349">
        <f t="shared" si="3"/>
        <v>1</v>
      </c>
      <c r="AB39" s="1349">
        <f t="shared" si="4"/>
        <v>1</v>
      </c>
      <c r="AC39" s="1349">
        <f t="shared" si="5"/>
        <v>1</v>
      </c>
    </row>
    <row r="40" spans="1:29" ht="15">
      <c r="A40" s="422"/>
      <c r="B40" s="374" t="s">
        <v>1872</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8"/>
      <c r="M40" s="2712"/>
      <c r="N40" s="2712"/>
      <c r="O40" s="2770"/>
      <c r="P40" s="3867"/>
      <c r="Q40" s="1348" t="str">
        <f t="shared" si="14"/>
        <v>临街宽度及深度</v>
      </c>
      <c r="R40" s="703" t="s">
        <v>14</v>
      </c>
      <c r="S40" s="704">
        <f t="shared" si="10"/>
        <v>100</v>
      </c>
      <c r="T40" s="703" t="s">
        <v>14</v>
      </c>
      <c r="U40" s="704">
        <f t="shared" si="11"/>
        <v>100</v>
      </c>
      <c r="V40" s="703" t="s">
        <v>14</v>
      </c>
      <c r="W40" s="704">
        <f t="shared" si="12"/>
        <v>100</v>
      </c>
      <c r="X40" s="1351"/>
      <c r="Y40" s="3867"/>
      <c r="Z40" s="1352" t="str">
        <f t="shared" si="13"/>
        <v>临街宽度及深度</v>
      </c>
      <c r="AA40" s="1349">
        <f t="shared" si="3"/>
        <v>1</v>
      </c>
      <c r="AB40" s="1349">
        <f t="shared" si="4"/>
        <v>1</v>
      </c>
      <c r="AC40" s="1349">
        <f t="shared" si="5"/>
        <v>1</v>
      </c>
    </row>
    <row r="41" spans="1:29" s="108" customFormat="1" ht="15">
      <c r="A41" s="423"/>
      <c r="B41" s="374" t="s">
        <v>1873</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3"/>
      <c r="M41" s="2714"/>
      <c r="N41" s="2714"/>
      <c r="O41" s="2768"/>
      <c r="P41" s="3867"/>
      <c r="Q41" s="1348" t="str">
        <f t="shared" si="14"/>
        <v>宗地开发程度</v>
      </c>
      <c r="R41" s="699" t="s">
        <v>14</v>
      </c>
      <c r="S41" s="700">
        <f t="shared" si="10"/>
        <v>100</v>
      </c>
      <c r="T41" s="699" t="s">
        <v>14</v>
      </c>
      <c r="U41" s="700">
        <f t="shared" si="11"/>
        <v>100</v>
      </c>
      <c r="V41" s="699" t="s">
        <v>14</v>
      </c>
      <c r="W41" s="700">
        <f t="shared" si="12"/>
        <v>100</v>
      </c>
      <c r="X41" s="701"/>
      <c r="Y41" s="3867"/>
      <c r="Z41" s="52" t="str">
        <f t="shared" si="13"/>
        <v>宗地开发程度</v>
      </c>
      <c r="AA41" s="702">
        <f t="shared" si="3"/>
        <v>1</v>
      </c>
      <c r="AB41" s="702">
        <f t="shared" si="4"/>
        <v>1</v>
      </c>
      <c r="AC41" s="702">
        <f t="shared" si="5"/>
        <v>1</v>
      </c>
    </row>
    <row r="42" spans="1:29" ht="15">
      <c r="A42" s="422"/>
      <c r="B42" s="374" t="s">
        <v>1874</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8"/>
      <c r="M42" s="2712"/>
      <c r="N42" s="2712"/>
      <c r="O42" s="2770"/>
      <c r="P42" s="3867" t="s">
        <v>1692</v>
      </c>
      <c r="Q42" s="1348" t="str">
        <f t="shared" si="14"/>
        <v>工程地质条件</v>
      </c>
      <c r="R42" s="703" t="s">
        <v>14</v>
      </c>
      <c r="S42" s="704">
        <f t="shared" si="10"/>
        <v>100</v>
      </c>
      <c r="T42" s="703" t="s">
        <v>14</v>
      </c>
      <c r="U42" s="704">
        <f t="shared" si="11"/>
        <v>100</v>
      </c>
      <c r="V42" s="703" t="s">
        <v>14</v>
      </c>
      <c r="W42" s="704">
        <f t="shared" si="12"/>
        <v>100</v>
      </c>
      <c r="X42" s="1351"/>
      <c r="Y42" s="3867" t="s">
        <v>1692</v>
      </c>
      <c r="Z42" s="1352" t="str">
        <f t="shared" si="13"/>
        <v>工程地质条件</v>
      </c>
      <c r="AA42" s="1349">
        <f t="shared" si="3"/>
        <v>1</v>
      </c>
      <c r="AB42" s="1349">
        <f t="shared" si="4"/>
        <v>1</v>
      </c>
      <c r="AC42" s="1349">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867"/>
      <c r="Q43" s="1348">
        <f t="shared" si="14"/>
        <v>111</v>
      </c>
      <c r="R43" s="703" t="s">
        <v>14</v>
      </c>
      <c r="S43" s="704">
        <f t="shared" si="10"/>
        <v>100</v>
      </c>
      <c r="T43" s="703" t="s">
        <v>14</v>
      </c>
      <c r="U43" s="704">
        <f t="shared" si="11"/>
        <v>100</v>
      </c>
      <c r="V43" s="703" t="s">
        <v>14</v>
      </c>
      <c r="W43" s="704">
        <f t="shared" si="12"/>
        <v>100</v>
      </c>
      <c r="X43" s="1351"/>
      <c r="Y43" s="3867"/>
      <c r="Z43" s="1352">
        <f t="shared" si="13"/>
        <v>111</v>
      </c>
      <c r="AA43" s="1349">
        <f t="shared" si="3"/>
        <v>1</v>
      </c>
      <c r="AB43" s="1349">
        <f t="shared" si="4"/>
        <v>1</v>
      </c>
      <c r="AC43" s="1349">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867"/>
      <c r="Q44" s="1348">
        <f t="shared" si="14"/>
        <v>111</v>
      </c>
      <c r="R44" s="703" t="s">
        <v>14</v>
      </c>
      <c r="S44" s="704">
        <f t="shared" si="10"/>
        <v>100</v>
      </c>
      <c r="T44" s="703" t="s">
        <v>14</v>
      </c>
      <c r="U44" s="704">
        <f t="shared" si="11"/>
        <v>100</v>
      </c>
      <c r="V44" s="703" t="s">
        <v>14</v>
      </c>
      <c r="W44" s="704">
        <f t="shared" si="12"/>
        <v>100</v>
      </c>
      <c r="X44" s="1351"/>
      <c r="Y44" s="3867"/>
      <c r="Z44" s="1352">
        <f t="shared" si="13"/>
        <v>111</v>
      </c>
      <c r="AA44" s="1349">
        <f t="shared" si="3"/>
        <v>1</v>
      </c>
      <c r="AB44" s="1349">
        <f t="shared" si="4"/>
        <v>1</v>
      </c>
      <c r="AC44" s="1349">
        <f t="shared" si="5"/>
        <v>1</v>
      </c>
    </row>
    <row r="45" spans="1:29" s="421" customFormat="1" ht="15.6" thickBot="1">
      <c r="A45" s="418"/>
      <c r="B45" s="1130">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867"/>
      <c r="Q45" s="1348">
        <f t="shared" si="14"/>
        <v>111</v>
      </c>
      <c r="R45" s="706" t="s">
        <v>14</v>
      </c>
      <c r="S45" s="707">
        <f t="shared" si="10"/>
        <v>100</v>
      </c>
      <c r="T45" s="706" t="s">
        <v>14</v>
      </c>
      <c r="U45" s="707">
        <f t="shared" si="11"/>
        <v>100</v>
      </c>
      <c r="V45" s="706" t="s">
        <v>14</v>
      </c>
      <c r="W45" s="707">
        <f t="shared" si="12"/>
        <v>100</v>
      </c>
      <c r="X45" s="708"/>
      <c r="Y45" s="3867"/>
      <c r="Z45" s="709">
        <f t="shared" si="13"/>
        <v>111</v>
      </c>
      <c r="AA45" s="1349">
        <f t="shared" si="3"/>
        <v>1</v>
      </c>
      <c r="AB45" s="1349">
        <f t="shared" si="4"/>
        <v>1</v>
      </c>
      <c r="AC45" s="1349">
        <f t="shared" si="5"/>
        <v>1</v>
      </c>
    </row>
    <row r="46" spans="1:29" ht="14.4">
      <c r="A46" s="429" t="s">
        <v>1840</v>
      </c>
      <c r="B46" s="1978" t="s">
        <v>1875</v>
      </c>
      <c r="C46" s="629" t="s">
        <v>0</v>
      </c>
      <c r="D46" s="431"/>
      <c r="E46" s="432"/>
      <c r="F46" s="433"/>
      <c r="G46" s="434"/>
      <c r="H46" s="435"/>
      <c r="I46" s="432"/>
      <c r="J46" s="435"/>
      <c r="K46" s="712"/>
      <c r="L46" s="2720"/>
      <c r="M46" s="2721"/>
      <c r="N46" s="2712"/>
      <c r="O46" s="2721"/>
      <c r="P46" s="3860" t="str">
        <f>A46</f>
        <v>成交单价</v>
      </c>
      <c r="Q46" s="3860"/>
      <c r="R46" s="3855">
        <f>E46</f>
        <v>0</v>
      </c>
      <c r="S46" s="3855"/>
      <c r="T46" s="3855">
        <f>G46</f>
        <v>0</v>
      </c>
      <c r="U46" s="3855"/>
      <c r="V46" s="3855">
        <f>I46</f>
        <v>0</v>
      </c>
      <c r="W46" s="3855"/>
      <c r="X46" s="688"/>
      <c r="Y46" s="710"/>
      <c r="Z46" s="688"/>
      <c r="AA46" s="688"/>
      <c r="AB46" s="688"/>
      <c r="AC46" s="688"/>
    </row>
    <row r="47" spans="1:29" ht="15" thickBot="1">
      <c r="A47" s="436" t="s">
        <v>1789</v>
      </c>
      <c r="B47" s="630"/>
      <c r="C47" s="439" t="e">
        <f>R48</f>
        <v>#DIV/0!</v>
      </c>
      <c r="D47" s="2313" t="s">
        <v>2134</v>
      </c>
      <c r="E47" s="439" t="e">
        <f>R47</f>
        <v>#DIV/0!</v>
      </c>
      <c r="F47" s="2314"/>
      <c r="G47" s="438" t="e">
        <f>T47</f>
        <v>#DIV/0!</v>
      </c>
      <c r="H47" s="2314"/>
      <c r="I47" s="439" t="e">
        <f>V47</f>
        <v>#DIV/0!</v>
      </c>
      <c r="J47" s="2314"/>
      <c r="K47" s="2316">
        <f>F47+H47+J47</f>
        <v>0</v>
      </c>
      <c r="L47" s="2720"/>
      <c r="M47" s="2721"/>
      <c r="N47" s="2721"/>
      <c r="O47" s="2721"/>
      <c r="P47" s="3860" t="str">
        <f>A47</f>
        <v>比较价值（元/平方米）</v>
      </c>
      <c r="Q47" s="3860"/>
      <c r="R47" s="3888" t="e">
        <f>ROUND(PRODUCT(R46,AA7:AA45),0)</f>
        <v>#DIV/0!</v>
      </c>
      <c r="S47" s="3888"/>
      <c r="T47" s="3888" t="e">
        <f>ROUND(PRODUCT(T46,AB7:AB45),0)</f>
        <v>#DIV/0!</v>
      </c>
      <c r="U47" s="3888"/>
      <c r="V47" s="3888" t="e">
        <f>ROUND(PRODUCT(V46,AC7:AC45),0)</f>
        <v>#DIV/0!</v>
      </c>
      <c r="W47" s="3888"/>
      <c r="X47" s="688"/>
      <c r="Y47" s="688"/>
      <c r="Z47" s="688"/>
      <c r="AA47" s="688"/>
      <c r="AB47" s="688"/>
      <c r="AC47" s="688"/>
    </row>
    <row r="48" spans="1:29" ht="15" thickBot="1">
      <c r="A48" s="440" t="s">
        <v>1876</v>
      </c>
      <c r="B48" s="441"/>
      <c r="C48" s="442" t="e">
        <f>R48</f>
        <v>#DIV/0!</v>
      </c>
      <c r="D48" s="442"/>
      <c r="E48" s="442"/>
      <c r="F48" s="442"/>
      <c r="G48" s="442"/>
      <c r="H48" s="442"/>
      <c r="I48" s="442"/>
      <c r="J48" s="442"/>
      <c r="K48" s="713"/>
      <c r="L48" s="2720"/>
      <c r="M48" s="2721"/>
      <c r="N48" s="2721"/>
      <c r="O48" s="2721"/>
      <c r="P48" s="3857" t="str">
        <f>A48</f>
        <v>估价对象XX用房的比较价值（楼面单价，元/平方米）</v>
      </c>
      <c r="Q48" s="3858"/>
      <c r="R48" s="3889" t="e">
        <f>ROUND(IF(D47="简单平均",AVERAGE(R47:W47),R47*F47+T47*H47+V47*J47),0)</f>
        <v>#DIV/0!</v>
      </c>
      <c r="S48" s="3889"/>
      <c r="T48" s="3889"/>
      <c r="U48" s="3889"/>
      <c r="V48" s="3889"/>
      <c r="W48" s="3889"/>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1791</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1792</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1793</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4.4"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1877</v>
      </c>
      <c r="B55" s="632" t="s">
        <v>1878</v>
      </c>
      <c r="C55" s="1979" t="s">
        <v>1879</v>
      </c>
      <c r="D55" s="1980" t="s">
        <v>1880</v>
      </c>
      <c r="E55" s="633" t="s">
        <v>1881</v>
      </c>
      <c r="F55" s="886" t="s">
        <v>1882</v>
      </c>
      <c r="G55" s="3843" t="s">
        <v>1883</v>
      </c>
      <c r="H55" s="3890"/>
      <c r="I55" s="134" t="s">
        <v>1884</v>
      </c>
      <c r="J55" s="1981">
        <f>项目基本情况!F35</f>
        <v>0</v>
      </c>
      <c r="K55" s="1982" t="s">
        <v>1885</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1886</v>
      </c>
      <c r="B56" s="636" t="e">
        <f>C48</f>
        <v>#DIV/0!</v>
      </c>
      <c r="C56" s="637">
        <v>1</v>
      </c>
      <c r="D56" s="940">
        <v>1</v>
      </c>
      <c r="E56" s="637">
        <f>'数据-汇总表'!E8+'数据-汇总表'!E9</f>
        <v>19830.27</v>
      </c>
      <c r="F56" s="882" t="e">
        <f t="shared" ref="F56:F64" si="15">ROUND(B56*E56/10000,0)</f>
        <v>#DIV/0!</v>
      </c>
      <c r="G56" s="3842"/>
      <c r="H56" s="3860"/>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1887</v>
      </c>
      <c r="B57" s="217" t="e">
        <f>ROUND($C$48*C57*D57,0)</f>
        <v>#DIV/0!</v>
      </c>
      <c r="C57" s="170">
        <f t="shared" ref="C57:C64" si="16">IF($C$55="北京市系数",I57,J57)</f>
        <v>0.6</v>
      </c>
      <c r="D57" s="941">
        <v>0.25</v>
      </c>
      <c r="E57" s="641"/>
      <c r="F57" s="882" t="e">
        <f t="shared" si="15"/>
        <v>#DIV/0!</v>
      </c>
      <c r="G57" s="3002" t="s">
        <v>1888</v>
      </c>
      <c r="H57" s="883" t="str">
        <f>项目基本情况!B37</f>
        <v>五级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1889</v>
      </c>
      <c r="B58" s="217" t="e">
        <f t="shared" ref="B58:B64" si="17">ROUND($C$48*C58*D58,0)</f>
        <v>#DIV/0!</v>
      </c>
      <c r="C58" s="170">
        <f t="shared" si="16"/>
        <v>0.3</v>
      </c>
      <c r="D58" s="941">
        <v>0.25</v>
      </c>
      <c r="E58" s="641"/>
      <c r="F58" s="882" t="e">
        <f t="shared" si="15"/>
        <v>#DIV/0!</v>
      </c>
      <c r="G58" s="3003"/>
      <c r="H58" s="883" t="str">
        <f>项目基本情况!B37</f>
        <v>五级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1890</v>
      </c>
      <c r="B59" s="217" t="e">
        <f t="shared" si="17"/>
        <v>#DIV/0!</v>
      </c>
      <c r="C59" s="170">
        <f t="shared" si="16"/>
        <v>0.25</v>
      </c>
      <c r="D59" s="941">
        <v>0.25</v>
      </c>
      <c r="E59" s="641"/>
      <c r="F59" s="882" t="e">
        <f t="shared" si="15"/>
        <v>#DIV/0!</v>
      </c>
      <c r="G59" s="3003"/>
      <c r="H59" s="883" t="str">
        <f>项目基本情况!B37</f>
        <v>五级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1891</v>
      </c>
      <c r="B60" s="217" t="e">
        <f t="shared" si="17"/>
        <v>#DIV/0!</v>
      </c>
      <c r="C60" s="170">
        <f t="shared" si="16"/>
        <v>0</v>
      </c>
      <c r="D60" s="941">
        <v>0.25</v>
      </c>
      <c r="E60" s="216">
        <f>'数据-汇总表'!E11</f>
        <v>0</v>
      </c>
      <c r="F60" s="882" t="e">
        <f t="shared" si="15"/>
        <v>#DIV/0!</v>
      </c>
      <c r="G60" s="1983" t="s">
        <v>1892</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1893</v>
      </c>
      <c r="B61" s="217" t="e">
        <f t="shared" si="17"/>
        <v>#DIV/0!</v>
      </c>
      <c r="C61" s="170">
        <f t="shared" si="16"/>
        <v>0</v>
      </c>
      <c r="D61" s="941">
        <v>0.25</v>
      </c>
      <c r="E61" s="216">
        <f>'数据-汇总表'!E12</f>
        <v>0</v>
      </c>
      <c r="F61" s="882" t="e">
        <f t="shared" si="15"/>
        <v>#DIV/0!</v>
      </c>
      <c r="G61" s="888" t="s">
        <v>1894</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1895</v>
      </c>
      <c r="B62" s="217" t="e">
        <f t="shared" si="17"/>
        <v>#DIV/0!</v>
      </c>
      <c r="C62" s="170">
        <f t="shared" si="16"/>
        <v>0</v>
      </c>
      <c r="D62" s="941">
        <v>0.25</v>
      </c>
      <c r="E62" s="216">
        <f>'数据-汇总表'!E13</f>
        <v>0</v>
      </c>
      <c r="F62" s="882" t="e">
        <f t="shared" si="15"/>
        <v>#DIV/0!</v>
      </c>
      <c r="G62" s="888" t="s">
        <v>1896</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1897</v>
      </c>
      <c r="B63" s="217" t="e">
        <f t="shared" si="17"/>
        <v>#DIV/0!</v>
      </c>
      <c r="C63" s="170">
        <f t="shared" si="16"/>
        <v>0.15</v>
      </c>
      <c r="D63" s="941">
        <v>0.25</v>
      </c>
      <c r="E63" s="216">
        <f>'数据-汇总表'!E14</f>
        <v>30659.07</v>
      </c>
      <c r="F63" s="882" t="e">
        <f t="shared" si="15"/>
        <v>#DIV/0!</v>
      </c>
      <c r="G63" s="1983" t="s">
        <v>1888</v>
      </c>
      <c r="H63" s="883" t="str">
        <f>项目基本情况!B37</f>
        <v>五级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4.4" thickBot="1">
      <c r="A64" s="640" t="s">
        <v>1898</v>
      </c>
      <c r="B64" s="217" t="e">
        <f t="shared" si="17"/>
        <v>#DIV/0!</v>
      </c>
      <c r="C64" s="170">
        <f t="shared" si="16"/>
        <v>0</v>
      </c>
      <c r="D64" s="941">
        <v>0.25</v>
      </c>
      <c r="E64" s="216">
        <f>'数据-汇总表'!E15</f>
        <v>0</v>
      </c>
      <c r="F64" s="882" t="e">
        <f t="shared" si="15"/>
        <v>#DIV/0!</v>
      </c>
      <c r="G64" s="1984" t="s">
        <v>1892</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thickBot="1">
      <c r="A65" s="642" t="s">
        <v>1899</v>
      </c>
      <c r="B65" s="643" t="s">
        <v>22</v>
      </c>
      <c r="C65" s="643" t="s">
        <v>23</v>
      </c>
      <c r="D65" s="643" t="s">
        <v>392</v>
      </c>
      <c r="E65" s="643">
        <f>IF(B46="楼面地价",SUM(E56:E64),'数据-汇总表'!D3)</f>
        <v>50489.34</v>
      </c>
      <c r="F65" s="644"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21"/>
      <c r="Q67" s="2721"/>
      <c r="R67" s="2721"/>
      <c r="S67" s="2721"/>
      <c r="T67" s="2721"/>
      <c r="U67" s="2721"/>
      <c r="V67" s="2721"/>
      <c r="W67" s="2721"/>
      <c r="X67" s="2721"/>
      <c r="Y67" s="2721"/>
      <c r="Z67" s="2721"/>
      <c r="AA67" s="2721"/>
      <c r="AB67" s="2721"/>
      <c r="AC67" s="2721"/>
    </row>
    <row r="68" spans="1:29" ht="22.2" thickBot="1">
      <c r="A68" s="692" t="s">
        <v>1794</v>
      </c>
      <c r="B68" s="688"/>
      <c r="C68" s="693"/>
      <c r="D68" s="693"/>
      <c r="E68" s="693"/>
      <c r="F68" s="694"/>
      <c r="G68" s="694"/>
      <c r="H68" s="693"/>
      <c r="I68" s="693"/>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6" customFormat="1" ht="14.4">
      <c r="A69" s="1985" t="s">
        <v>1900</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86" t="s">
        <v>1901</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5"/>
      <c r="Q70" s="2657"/>
      <c r="R70" s="2657"/>
      <c r="S70" s="2657"/>
      <c r="T70" s="2657"/>
      <c r="U70" s="2657"/>
      <c r="V70" s="2657"/>
      <c r="W70" s="2657"/>
      <c r="X70" s="2657"/>
      <c r="Y70" s="2657"/>
      <c r="Z70" s="2657"/>
      <c r="AA70" s="2657"/>
      <c r="AB70" s="2657"/>
      <c r="AC70" s="2657"/>
    </row>
    <row r="71" spans="1:29" s="108" customFormat="1" ht="15" thickBot="1">
      <c r="A71" s="463" t="s">
        <v>1712</v>
      </c>
      <c r="B71" s="464"/>
      <c r="C71" s="465"/>
      <c r="D71" s="466"/>
      <c r="E71" s="466"/>
      <c r="F71" s="466"/>
      <c r="G71" s="466"/>
      <c r="H71" s="466"/>
      <c r="I71" s="466"/>
      <c r="J71" s="466"/>
      <c r="K71" s="466"/>
      <c r="L71" s="466"/>
      <c r="M71" s="467"/>
      <c r="N71" s="466"/>
      <c r="O71" s="939"/>
      <c r="P71" s="2735"/>
      <c r="Q71" s="2735"/>
      <c r="R71" s="2657"/>
      <c r="S71" s="2657"/>
      <c r="T71" s="2657"/>
      <c r="U71" s="2657"/>
      <c r="V71" s="2657"/>
      <c r="W71" s="2657"/>
      <c r="X71" s="2657"/>
      <c r="Y71" s="2657"/>
      <c r="Z71" s="2657"/>
      <c r="AA71" s="2657"/>
      <c r="AB71" s="2657"/>
      <c r="AC71" s="2657"/>
    </row>
    <row r="72" spans="1:29" s="108" customFormat="1" ht="14.4">
      <c r="A72" s="469" t="s">
        <v>1677</v>
      </c>
      <c r="B72" s="458"/>
      <c r="C72" s="470" t="s">
        <v>1772</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4.4"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ht="14.4">
      <c r="A74" s="475" t="s">
        <v>1715</v>
      </c>
      <c r="B74" s="476" t="s">
        <v>1681</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4.4"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9.4" thickTop="1">
      <c r="A76" s="482"/>
      <c r="B76" s="486" t="s">
        <v>1684</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4.4"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 thickTop="1">
      <c r="A78" s="482"/>
      <c r="B78" s="494" t="s">
        <v>1685</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4.4"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4.4"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4.4"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4.4"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4.4"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4.4"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4.4"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ht="14.4">
      <c r="A87" s="475" t="s">
        <v>1686</v>
      </c>
      <c r="B87" s="476" t="s">
        <v>1716</v>
      </c>
      <c r="C87" s="521" t="s">
        <v>1717</v>
      </c>
      <c r="D87" s="521" t="s">
        <v>1718</v>
      </c>
      <c r="E87" s="521" t="s">
        <v>1719</v>
      </c>
      <c r="F87" s="521" t="s">
        <v>1720</v>
      </c>
      <c r="G87" s="521" t="s">
        <v>1721</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 thickTop="1">
      <c r="A89" s="482"/>
      <c r="B89" s="486" t="s">
        <v>1902</v>
      </c>
      <c r="C89" s="526" t="s">
        <v>1717</v>
      </c>
      <c r="D89" s="526" t="s">
        <v>1718</v>
      </c>
      <c r="E89" s="526" t="s">
        <v>1719</v>
      </c>
      <c r="F89" s="526" t="s">
        <v>1720</v>
      </c>
      <c r="G89" s="526" t="s">
        <v>1721</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 thickTop="1">
      <c r="A91" s="482"/>
      <c r="B91" s="486" t="s">
        <v>1817</v>
      </c>
      <c r="C91" s="526" t="s">
        <v>1717</v>
      </c>
      <c r="D91" s="526" t="s">
        <v>1718</v>
      </c>
      <c r="E91" s="526" t="s">
        <v>1719</v>
      </c>
      <c r="F91" s="526" t="s">
        <v>1720</v>
      </c>
      <c r="G91" s="526" t="s">
        <v>1721</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 thickTop="1">
      <c r="A93" s="482"/>
      <c r="B93" s="486" t="s">
        <v>1722</v>
      </c>
      <c r="C93" s="526" t="s">
        <v>1717</v>
      </c>
      <c r="D93" s="526" t="s">
        <v>1718</v>
      </c>
      <c r="E93" s="526" t="s">
        <v>1719</v>
      </c>
      <c r="F93" s="526" t="s">
        <v>1720</v>
      </c>
      <c r="G93" s="526" t="s">
        <v>1721</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29.4" thickTop="1">
      <c r="A95" s="527"/>
      <c r="B95" s="486" t="s">
        <v>1903</v>
      </c>
      <c r="C95" s="526" t="s">
        <v>1717</v>
      </c>
      <c r="D95" s="526" t="s">
        <v>1718</v>
      </c>
      <c r="E95" s="526" t="s">
        <v>1719</v>
      </c>
      <c r="F95" s="526" t="s">
        <v>1720</v>
      </c>
      <c r="G95" s="526" t="s">
        <v>1721</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4.4"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9.4" thickTop="1">
      <c r="A97" s="527"/>
      <c r="B97" s="486" t="s">
        <v>1904</v>
      </c>
      <c r="C97" s="521" t="s">
        <v>1717</v>
      </c>
      <c r="D97" s="521" t="s">
        <v>1718</v>
      </c>
      <c r="E97" s="521" t="s">
        <v>1719</v>
      </c>
      <c r="F97" s="521" t="s">
        <v>1720</v>
      </c>
      <c r="G97" s="521" t="s">
        <v>1721</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4.4"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 thickTop="1">
      <c r="A99" s="501"/>
      <c r="B99" s="486" t="s">
        <v>1774</v>
      </c>
      <c r="C99" s="521" t="s">
        <v>1717</v>
      </c>
      <c r="D99" s="521" t="s">
        <v>1718</v>
      </c>
      <c r="E99" s="521" t="s">
        <v>1719</v>
      </c>
      <c r="F99" s="521" t="s">
        <v>1720</v>
      </c>
      <c r="G99" s="521" t="s">
        <v>1721</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 thickTop="1">
      <c r="A101" s="501"/>
      <c r="B101" s="494" t="s">
        <v>1775</v>
      </c>
      <c r="C101" s="607" t="s">
        <v>1795</v>
      </c>
      <c r="D101" s="607" t="s">
        <v>1796</v>
      </c>
      <c r="E101" s="607" t="s">
        <v>1797</v>
      </c>
      <c r="F101" s="607" t="s">
        <v>1798</v>
      </c>
      <c r="G101" s="607" t="s">
        <v>1799</v>
      </c>
      <c r="H101" s="548"/>
      <c r="I101" s="548"/>
      <c r="J101" s="548"/>
      <c r="K101" s="548"/>
      <c r="L101" s="548"/>
      <c r="M101" s="1128"/>
      <c r="N101" s="2751"/>
      <c r="O101" s="2751"/>
      <c r="P101" s="2775"/>
      <c r="Q101" s="2742"/>
      <c r="R101" s="2743"/>
      <c r="S101" s="2743"/>
      <c r="T101" s="2743"/>
      <c r="U101" s="2743"/>
      <c r="V101" s="2743"/>
      <c r="W101" s="2743"/>
      <c r="X101" s="2743"/>
      <c r="Y101" s="2743"/>
      <c r="Z101" s="2743"/>
      <c r="AA101" s="2743"/>
      <c r="AB101" s="2743"/>
      <c r="AC101" s="2743"/>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28"/>
      <c r="N102" s="2751"/>
      <c r="O102" s="2751"/>
      <c r="P102" s="2775"/>
      <c r="Q102" s="2742"/>
      <c r="R102" s="2743"/>
      <c r="S102" s="2743"/>
      <c r="T102" s="2743"/>
      <c r="U102" s="2743"/>
      <c r="V102" s="2743"/>
      <c r="W102" s="2743"/>
      <c r="X102" s="2743"/>
      <c r="Y102" s="2743"/>
      <c r="Z102" s="2743"/>
      <c r="AA102" s="2743"/>
      <c r="AB102" s="2743"/>
      <c r="AC102" s="2743"/>
    </row>
    <row r="103" spans="1:29" ht="15" thickTop="1">
      <c r="A103" s="482"/>
      <c r="B103" s="486" t="str">
        <f>B31</f>
        <v>临街状况</v>
      </c>
      <c r="C103" s="487" t="s">
        <v>1905</v>
      </c>
      <c r="D103" s="487" t="s">
        <v>1906</v>
      </c>
      <c r="E103" s="487" t="s">
        <v>1907</v>
      </c>
      <c r="F103" s="487" t="s">
        <v>1908</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2"/>
      <c r="B105" s="486" t="s">
        <v>1811</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2"/>
      <c r="B107" s="486" t="s">
        <v>1869</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4.4"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4.4"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4.4"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4.4"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4.4"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ht="14.4">
      <c r="A115" s="475" t="s">
        <v>1690</v>
      </c>
      <c r="B115" s="476" t="s">
        <v>1909</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4.4"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1910</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1911</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1912</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4.4"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1913</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4.4"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4.4"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4.4"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4.4"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4.4"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1863</v>
      </c>
      <c r="B1" s="348"/>
      <c r="C1" s="349" t="s">
        <v>1914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1458</v>
      </c>
      <c r="B2" s="618" t="e">
        <f>F61</f>
        <v>#DIV/0!</v>
      </c>
      <c r="C2" s="904"/>
      <c r="D2" s="904"/>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t="e">
        <f>ROUND(IF(D3="",B2*10000/'数据-汇总表'!E3,B2*10000/D3),0)</f>
        <v>#DIV/0!</v>
      </c>
      <c r="C3" s="202" t="s">
        <v>1865</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4.4">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30" t="s">
        <v>1767</v>
      </c>
      <c r="S4" s="3831"/>
      <c r="T4" s="3830" t="s">
        <v>1768</v>
      </c>
      <c r="U4" s="3831"/>
      <c r="V4" s="3855" t="s">
        <v>1769</v>
      </c>
      <c r="W4" s="3855"/>
      <c r="X4" s="1351"/>
      <c r="Y4" s="3830" t="s">
        <v>1771</v>
      </c>
      <c r="Z4" s="3831"/>
      <c r="AA4" s="3825" t="s">
        <v>1767</v>
      </c>
      <c r="AB4" s="3826" t="s">
        <v>1768</v>
      </c>
      <c r="AC4" s="3825" t="s">
        <v>1769</v>
      </c>
    </row>
    <row r="5" spans="1:29">
      <c r="A5" s="357"/>
      <c r="B5" s="358"/>
      <c r="C5" s="3836" t="s">
        <v>1669</v>
      </c>
      <c r="D5" s="3837"/>
      <c r="E5" s="3834" t="s">
        <v>1670</v>
      </c>
      <c r="F5" s="3835"/>
      <c r="G5" s="3836" t="s">
        <v>1671</v>
      </c>
      <c r="H5" s="3837"/>
      <c r="I5" s="3836" t="s">
        <v>1672</v>
      </c>
      <c r="J5" s="3837"/>
      <c r="K5" s="558"/>
      <c r="L5" s="2711"/>
      <c r="M5" s="2712"/>
      <c r="N5" s="2712"/>
      <c r="O5" s="2712"/>
      <c r="P5" s="3849"/>
      <c r="Q5" s="3850"/>
      <c r="R5" s="3832"/>
      <c r="S5" s="3833"/>
      <c r="T5" s="3832"/>
      <c r="U5" s="3833"/>
      <c r="V5" s="3855"/>
      <c r="W5" s="3855"/>
      <c r="X5" s="1351"/>
      <c r="Y5" s="3832"/>
      <c r="Z5" s="3833"/>
      <c r="AA5" s="3826"/>
      <c r="AB5" s="3826"/>
      <c r="AC5" s="3826"/>
    </row>
    <row r="6" spans="1:29" ht="15" thickBot="1">
      <c r="A6" s="359"/>
      <c r="B6" s="360"/>
      <c r="C6" s="3891" t="s">
        <v>1915</v>
      </c>
      <c r="D6" s="3892"/>
      <c r="E6" s="3893" t="s">
        <v>1915</v>
      </c>
      <c r="F6" s="3894"/>
      <c r="G6" s="3891" t="s">
        <v>1915</v>
      </c>
      <c r="H6" s="3892"/>
      <c r="I6" s="3891" t="s">
        <v>1915</v>
      </c>
      <c r="J6" s="3892"/>
      <c r="K6" s="558" t="s">
        <v>1674</v>
      </c>
      <c r="L6" s="2711"/>
      <c r="M6" s="2712"/>
      <c r="N6" s="2712"/>
      <c r="O6" s="2712"/>
      <c r="P6" s="3851"/>
      <c r="Q6" s="3852"/>
      <c r="R6" s="3832"/>
      <c r="S6" s="3833"/>
      <c r="T6" s="3853"/>
      <c r="U6" s="3854"/>
      <c r="V6" s="3855"/>
      <c r="W6" s="3855"/>
      <c r="X6" s="1351"/>
      <c r="Y6" s="3853"/>
      <c r="Z6" s="3854"/>
      <c r="AA6" s="3827"/>
      <c r="AB6" s="3827"/>
      <c r="AC6" s="3827"/>
    </row>
    <row r="7" spans="1:29" s="108" customFormat="1" ht="15" thickBot="1">
      <c r="A7" s="361" t="s">
        <v>1675</v>
      </c>
      <c r="B7" s="362"/>
      <c r="C7" s="363">
        <f>'数据-取费表'!B2</f>
        <v>45086</v>
      </c>
      <c r="D7" s="364">
        <v>100</v>
      </c>
      <c r="E7" s="365"/>
      <c r="F7" s="366">
        <f>SUMIF(65:65,YEAR(E7)&amp;"-"&amp;INT((MONTH(E7)+2)/3),66:66)</f>
        <v>0</v>
      </c>
      <c r="G7" s="1970"/>
      <c r="H7" s="364">
        <f>SUMIF(65:65,YEAR(G7)&amp;"-"&amp;INT((MONTH(G7)+2)/3),66:66)</f>
        <v>0</v>
      </c>
      <c r="I7" s="1970"/>
      <c r="J7" s="364">
        <f>SUMIF(65:65,YEAR(I7)&amp;"-"&amp;INT((MONTH(I7)+2)/3),66:66)</f>
        <v>0</v>
      </c>
      <c r="K7" s="559"/>
      <c r="L7" s="2713"/>
      <c r="M7" s="2714"/>
      <c r="N7" s="2714"/>
      <c r="O7" s="2714"/>
      <c r="P7" s="3828" t="s">
        <v>1676</v>
      </c>
      <c r="Q7" s="3856"/>
      <c r="R7" s="699" t="s">
        <v>14</v>
      </c>
      <c r="S7" s="700">
        <f t="shared" ref="S7:S15" si="0">F7</f>
        <v>0</v>
      </c>
      <c r="T7" s="699" t="s">
        <v>14</v>
      </c>
      <c r="U7" s="700">
        <f t="shared" ref="U7:U15" si="1">H7</f>
        <v>0</v>
      </c>
      <c r="V7" s="699" t="s">
        <v>14</v>
      </c>
      <c r="W7" s="700">
        <f t="shared" ref="W7:W15" si="2">J7</f>
        <v>0</v>
      </c>
      <c r="X7" s="701"/>
      <c r="Y7" s="3828" t="s">
        <v>1676</v>
      </c>
      <c r="Z7" s="3829"/>
      <c r="AA7" s="702" t="e">
        <f>D7/F7</f>
        <v>#DIV/0!</v>
      </c>
      <c r="AB7" s="702" t="e">
        <f>D7/H7</f>
        <v>#DIV/0!</v>
      </c>
      <c r="AC7" s="702" t="e">
        <f>D7/J7</f>
        <v>#DIV/0!</v>
      </c>
    </row>
    <row r="8" spans="1:29" s="108" customFormat="1" ht="15" thickBot="1">
      <c r="A8" s="361" t="s">
        <v>1677</v>
      </c>
      <c r="B8" s="362"/>
      <c r="C8" s="367" t="s">
        <v>1678</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828" t="s">
        <v>1679</v>
      </c>
      <c r="Q8" s="3829"/>
      <c r="R8" s="699" t="s">
        <v>14</v>
      </c>
      <c r="S8" s="700">
        <f t="shared" si="0"/>
        <v>0</v>
      </c>
      <c r="T8" s="699" t="s">
        <v>14</v>
      </c>
      <c r="U8" s="700">
        <f t="shared" si="1"/>
        <v>0</v>
      </c>
      <c r="V8" s="699" t="s">
        <v>14</v>
      </c>
      <c r="W8" s="700">
        <f t="shared" si="2"/>
        <v>0</v>
      </c>
      <c r="X8" s="701"/>
      <c r="Y8" s="3828" t="s">
        <v>1679</v>
      </c>
      <c r="Z8" s="3829"/>
      <c r="AA8" s="702" t="e">
        <f t="shared" ref="AA8:AA40" si="3">D8/F8</f>
        <v>#DIV/0!</v>
      </c>
      <c r="AB8" s="702" t="e">
        <f t="shared" ref="AB8:AB40" si="4">D8/H8</f>
        <v>#DIV/0!</v>
      </c>
      <c r="AC8" s="702" t="e">
        <f t="shared" ref="AC8:AC40" si="5">D8/J8</f>
        <v>#DIV/0!</v>
      </c>
    </row>
    <row r="9" spans="1:29" s="108" customFormat="1" ht="14.4">
      <c r="A9" s="368" t="s">
        <v>1680</v>
      </c>
      <c r="B9" s="63" t="s">
        <v>1681</v>
      </c>
      <c r="C9" s="1973"/>
      <c r="D9" s="125">
        <v>100</v>
      </c>
      <c r="E9" s="1973"/>
      <c r="F9" s="125">
        <f>SUMIF(70:70,E9,71:71)-SUMIF(70:70,C9,71:71)+100</f>
        <v>100</v>
      </c>
      <c r="G9" s="1973"/>
      <c r="H9" s="125">
        <f>SUMIF(70:70,G9,71:71)-SUMIF(70:70,C9,71:71)+100</f>
        <v>100</v>
      </c>
      <c r="I9" s="1973"/>
      <c r="J9" s="125">
        <f>SUMIF(70:70,I9,71:71)-SUMIF(70:70,C9,71:71)+100</f>
        <v>100</v>
      </c>
      <c r="K9" s="559"/>
      <c r="L9" s="2713"/>
      <c r="M9" s="2714"/>
      <c r="N9" s="2714"/>
      <c r="O9" s="2768"/>
      <c r="P9" s="3860" t="s">
        <v>1682</v>
      </c>
      <c r="Q9" s="1339" t="str">
        <f t="shared" ref="Q9:Q15" si="6">B9</f>
        <v>用途</v>
      </c>
      <c r="R9" s="699" t="s">
        <v>14</v>
      </c>
      <c r="S9" s="700">
        <f t="shared" si="0"/>
        <v>100</v>
      </c>
      <c r="T9" s="699" t="s">
        <v>14</v>
      </c>
      <c r="U9" s="700">
        <f t="shared" si="1"/>
        <v>100</v>
      </c>
      <c r="V9" s="699" t="s">
        <v>14</v>
      </c>
      <c r="W9" s="700">
        <f t="shared" si="2"/>
        <v>100</v>
      </c>
      <c r="X9" s="701"/>
      <c r="Y9" s="3753" t="s">
        <v>1683</v>
      </c>
      <c r="Z9" s="52" t="str">
        <f t="shared" ref="Z9:Z15" si="7">Q9</f>
        <v>用途</v>
      </c>
      <c r="AA9" s="702">
        <f t="shared" si="3"/>
        <v>1</v>
      </c>
      <c r="AB9" s="702">
        <f t="shared" si="4"/>
        <v>1</v>
      </c>
      <c r="AC9" s="702">
        <f t="shared" si="5"/>
        <v>1</v>
      </c>
    </row>
    <row r="10" spans="1:29" s="377" customFormat="1" ht="28.8">
      <c r="A10" s="373"/>
      <c r="B10" s="374" t="s">
        <v>1684</v>
      </c>
      <c r="C10" s="382"/>
      <c r="D10" s="126">
        <v>100</v>
      </c>
      <c r="E10" s="382"/>
      <c r="F10" s="126">
        <f>ROUND(100/'数据-取费表'!G16,0)</f>
        <v>112</v>
      </c>
      <c r="G10" s="382"/>
      <c r="H10" s="126">
        <f>ROUND(100/'数据-取费表'!G16,0)</f>
        <v>112</v>
      </c>
      <c r="I10" s="382"/>
      <c r="J10" s="126">
        <f>ROUND(100/'数据-取费表'!G16,0)</f>
        <v>112</v>
      </c>
      <c r="K10" s="619"/>
      <c r="L10" s="2715"/>
      <c r="M10" s="2716"/>
      <c r="N10" s="2716"/>
      <c r="O10" s="2769"/>
      <c r="P10" s="3860"/>
      <c r="Q10" s="1339" t="str">
        <f t="shared" si="6"/>
        <v>土地使用年限（年）</v>
      </c>
      <c r="R10" s="699" t="s">
        <v>14</v>
      </c>
      <c r="S10" s="700">
        <f t="shared" si="0"/>
        <v>112</v>
      </c>
      <c r="T10" s="699" t="s">
        <v>14</v>
      </c>
      <c r="U10" s="700">
        <f t="shared" si="1"/>
        <v>112</v>
      </c>
      <c r="V10" s="699" t="s">
        <v>14</v>
      </c>
      <c r="W10" s="700">
        <f t="shared" si="2"/>
        <v>112</v>
      </c>
      <c r="X10" s="701"/>
      <c r="Y10" s="3753"/>
      <c r="Z10" s="52" t="str">
        <f t="shared" si="7"/>
        <v>土地使用年限（年）</v>
      </c>
      <c r="AA10" s="702">
        <f t="shared" si="3"/>
        <v>0.8928571428571429</v>
      </c>
      <c r="AB10" s="702">
        <f t="shared" si="4"/>
        <v>0.8928571428571429</v>
      </c>
      <c r="AC10" s="702">
        <f t="shared" si="5"/>
        <v>0.8928571428571429</v>
      </c>
    </row>
    <row r="11" spans="1:29" ht="15">
      <c r="A11" s="378"/>
      <c r="B11" s="374" t="s">
        <v>1685</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860"/>
      <c r="Q11" s="1339" t="str">
        <f t="shared" si="6"/>
        <v>容积率</v>
      </c>
      <c r="R11" s="699" t="s">
        <v>14</v>
      </c>
      <c r="S11" s="700" t="e">
        <f t="shared" si="0"/>
        <v>#N/A</v>
      </c>
      <c r="T11" s="699" t="s">
        <v>14</v>
      </c>
      <c r="U11" s="700" t="e">
        <f t="shared" si="1"/>
        <v>#N/A</v>
      </c>
      <c r="V11" s="699" t="s">
        <v>14</v>
      </c>
      <c r="W11" s="700" t="e">
        <f t="shared" si="2"/>
        <v>#N/A</v>
      </c>
      <c r="X11" s="701"/>
      <c r="Y11" s="3753"/>
      <c r="Z11" s="52" t="str">
        <f t="shared" si="7"/>
        <v>容积率</v>
      </c>
      <c r="AA11" s="702" t="e">
        <f t="shared" si="3"/>
        <v>#N/A</v>
      </c>
      <c r="AB11" s="702" t="e">
        <f t="shared" si="4"/>
        <v>#N/A</v>
      </c>
      <c r="AC11" s="702" t="e">
        <f t="shared" si="5"/>
        <v>#N/A</v>
      </c>
    </row>
    <row r="12" spans="1:29" s="108"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860"/>
      <c r="Q12" s="1339">
        <f t="shared" si="6"/>
        <v>111</v>
      </c>
      <c r="R12" s="699" t="s">
        <v>14</v>
      </c>
      <c r="S12" s="700">
        <f t="shared" si="0"/>
        <v>100</v>
      </c>
      <c r="T12" s="699" t="s">
        <v>14</v>
      </c>
      <c r="U12" s="700">
        <f t="shared" si="1"/>
        <v>100</v>
      </c>
      <c r="V12" s="699" t="s">
        <v>14</v>
      </c>
      <c r="W12" s="700">
        <f t="shared" si="2"/>
        <v>100</v>
      </c>
      <c r="X12" s="701"/>
      <c r="Y12" s="3753"/>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860"/>
      <c r="Q13" s="1339">
        <f t="shared" si="6"/>
        <v>111</v>
      </c>
      <c r="R13" s="699" t="s">
        <v>14</v>
      </c>
      <c r="S13" s="700">
        <f t="shared" si="0"/>
        <v>100</v>
      </c>
      <c r="T13" s="699" t="s">
        <v>14</v>
      </c>
      <c r="U13" s="700">
        <f t="shared" si="1"/>
        <v>100</v>
      </c>
      <c r="V13" s="699" t="s">
        <v>14</v>
      </c>
      <c r="W13" s="700">
        <f t="shared" si="2"/>
        <v>100</v>
      </c>
      <c r="X13" s="701"/>
      <c r="Y13" s="3753"/>
      <c r="Z13" s="52">
        <f t="shared" si="7"/>
        <v>111</v>
      </c>
      <c r="AA13" s="702">
        <f t="shared" si="3"/>
        <v>1</v>
      </c>
      <c r="AB13" s="702">
        <f t="shared" si="4"/>
        <v>1</v>
      </c>
      <c r="AC13" s="702">
        <f t="shared" si="5"/>
        <v>1</v>
      </c>
    </row>
    <row r="14" spans="1:29" ht="15.6"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860"/>
      <c r="Q14" s="1339">
        <f t="shared" si="6"/>
        <v>111</v>
      </c>
      <c r="R14" s="699" t="s">
        <v>14</v>
      </c>
      <c r="S14" s="700">
        <f t="shared" si="0"/>
        <v>100</v>
      </c>
      <c r="T14" s="699" t="s">
        <v>14</v>
      </c>
      <c r="U14" s="700">
        <f t="shared" si="1"/>
        <v>100</v>
      </c>
      <c r="V14" s="699" t="s">
        <v>14</v>
      </c>
      <c r="W14" s="700">
        <f t="shared" si="2"/>
        <v>100</v>
      </c>
      <c r="X14" s="701"/>
      <c r="Y14" s="3753"/>
      <c r="Z14" s="52">
        <f t="shared" si="7"/>
        <v>111</v>
      </c>
      <c r="AA14" s="702">
        <f t="shared" si="3"/>
        <v>1</v>
      </c>
      <c r="AB14" s="702">
        <f t="shared" si="4"/>
        <v>1</v>
      </c>
      <c r="AC14" s="702">
        <f t="shared" si="5"/>
        <v>1</v>
      </c>
    </row>
    <row r="15" spans="1:29" ht="69">
      <c r="A15" s="390" t="s">
        <v>1686</v>
      </c>
      <c r="B15" s="576" t="s">
        <v>1916</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862" t="s">
        <v>1687</v>
      </c>
      <c r="Q15" s="1348" t="str">
        <f t="shared" si="6"/>
        <v>产业集聚程度</v>
      </c>
      <c r="R15" s="703" t="s">
        <v>14</v>
      </c>
      <c r="S15" s="704">
        <f t="shared" si="0"/>
        <v>100</v>
      </c>
      <c r="T15" s="703" t="s">
        <v>14</v>
      </c>
      <c r="U15" s="704">
        <f t="shared" si="1"/>
        <v>100</v>
      </c>
      <c r="V15" s="703" t="s">
        <v>14</v>
      </c>
      <c r="W15" s="704">
        <f t="shared" si="2"/>
        <v>100</v>
      </c>
      <c r="X15" s="1351"/>
      <c r="Y15" s="3862" t="s">
        <v>1687</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8"/>
      <c r="M16" s="2712"/>
      <c r="N16" s="2712"/>
      <c r="O16" s="2770"/>
      <c r="P16" s="3863"/>
      <c r="Q16" s="1348"/>
      <c r="R16" s="703"/>
      <c r="S16" s="704"/>
      <c r="T16" s="703"/>
      <c r="U16" s="704"/>
      <c r="V16" s="703"/>
      <c r="W16" s="704"/>
      <c r="X16" s="1351"/>
      <c r="Y16" s="3863"/>
      <c r="Z16" s="1352"/>
      <c r="AA16" s="1349">
        <v>1</v>
      </c>
      <c r="AB16" s="1349">
        <v>1</v>
      </c>
      <c r="AC16" s="1349">
        <v>1</v>
      </c>
    </row>
    <row r="17" spans="1:29" ht="96.6">
      <c r="A17" s="378"/>
      <c r="B17" s="578" t="s">
        <v>1829</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863"/>
      <c r="Q17" s="1348" t="str">
        <f>B17</f>
        <v>交通便捷度</v>
      </c>
      <c r="R17" s="703" t="s">
        <v>14</v>
      </c>
      <c r="S17" s="704">
        <f>F17</f>
        <v>100</v>
      </c>
      <c r="T17" s="703" t="s">
        <v>14</v>
      </c>
      <c r="U17" s="704">
        <f>H17</f>
        <v>100</v>
      </c>
      <c r="V17" s="703" t="s">
        <v>14</v>
      </c>
      <c r="W17" s="704">
        <f>J17</f>
        <v>100</v>
      </c>
      <c r="X17" s="1351"/>
      <c r="Y17" s="3863"/>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8"/>
      <c r="M18" s="2712"/>
      <c r="N18" s="2712"/>
      <c r="O18" s="2770"/>
      <c r="P18" s="3863"/>
      <c r="Q18" s="1348"/>
      <c r="R18" s="703"/>
      <c r="S18" s="704"/>
      <c r="T18" s="703"/>
      <c r="U18" s="704"/>
      <c r="V18" s="703"/>
      <c r="W18" s="704"/>
      <c r="X18" s="1351"/>
      <c r="Y18" s="3863"/>
      <c r="Z18" s="1352"/>
      <c r="AA18" s="1349">
        <v>1</v>
      </c>
      <c r="AB18" s="1349">
        <v>1</v>
      </c>
      <c r="AC18" s="1349">
        <v>1</v>
      </c>
    </row>
    <row r="19" spans="1:29" ht="28.8">
      <c r="A19" s="378"/>
      <c r="B19" s="578" t="s">
        <v>1867</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863"/>
      <c r="Q19" s="1348" t="str">
        <f t="shared" ref="Q19:Q33" si="8">B19</f>
        <v>区域土地利用方向</v>
      </c>
      <c r="R19" s="703" t="s">
        <v>14</v>
      </c>
      <c r="S19" s="704">
        <f>F19</f>
        <v>100</v>
      </c>
      <c r="T19" s="703" t="s">
        <v>14</v>
      </c>
      <c r="U19" s="704">
        <f>H19</f>
        <v>100</v>
      </c>
      <c r="V19" s="703" t="s">
        <v>14</v>
      </c>
      <c r="W19" s="704">
        <f>J19</f>
        <v>100</v>
      </c>
      <c r="X19" s="1351"/>
      <c r="Y19" s="3863"/>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6"/>
      <c r="L20" s="2718"/>
      <c r="M20" s="2712"/>
      <c r="N20" s="2712"/>
      <c r="O20" s="2770"/>
      <c r="P20" s="3863"/>
      <c r="Q20" s="1348"/>
      <c r="R20" s="703"/>
      <c r="S20" s="704"/>
      <c r="T20" s="703"/>
      <c r="U20" s="704"/>
      <c r="V20" s="703"/>
      <c r="W20" s="704"/>
      <c r="X20" s="1351"/>
      <c r="Y20" s="3863"/>
      <c r="Z20" s="1352"/>
      <c r="AA20" s="1349"/>
      <c r="AB20" s="1349"/>
      <c r="AC20" s="1349"/>
    </row>
    <row r="21" spans="1:29" ht="82.8">
      <c r="A21" s="357"/>
      <c r="B21" s="578" t="s">
        <v>1917</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863"/>
      <c r="Q21" s="1348" t="str">
        <f t="shared" si="8"/>
        <v>环境状况</v>
      </c>
      <c r="R21" s="703" t="s">
        <v>14</v>
      </c>
      <c r="S21" s="704">
        <f>F21</f>
        <v>100</v>
      </c>
      <c r="T21" s="703" t="s">
        <v>14</v>
      </c>
      <c r="U21" s="704">
        <f>H21</f>
        <v>100</v>
      </c>
      <c r="V21" s="703" t="s">
        <v>14</v>
      </c>
      <c r="W21" s="704">
        <f>J21</f>
        <v>100</v>
      </c>
      <c r="X21" s="1351"/>
      <c r="Y21" s="3863"/>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8"/>
      <c r="M22" s="2712"/>
      <c r="N22" s="2712"/>
      <c r="O22" s="2770"/>
      <c r="P22" s="3863"/>
      <c r="Q22" s="1348"/>
      <c r="R22" s="703"/>
      <c r="S22" s="704"/>
      <c r="T22" s="703"/>
      <c r="U22" s="704"/>
      <c r="V22" s="703"/>
      <c r="W22" s="704"/>
      <c r="X22" s="1351"/>
      <c r="Y22" s="3863"/>
      <c r="Z22" s="1352"/>
      <c r="AA22" s="1349">
        <v>1</v>
      </c>
      <c r="AB22" s="1349">
        <v>1</v>
      </c>
      <c r="AC22" s="1349">
        <v>1</v>
      </c>
    </row>
    <row r="23" spans="1:29" s="108" customFormat="1" ht="41.4">
      <c r="A23" s="596"/>
      <c r="B23" s="580" t="s">
        <v>1774</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863"/>
      <c r="Q23" s="1339" t="str">
        <f t="shared" si="8"/>
        <v>公共配套设施</v>
      </c>
      <c r="R23" s="699" t="s">
        <v>14</v>
      </c>
      <c r="S23" s="700">
        <f>F23</f>
        <v>100</v>
      </c>
      <c r="T23" s="699" t="s">
        <v>14</v>
      </c>
      <c r="U23" s="700">
        <f>H23</f>
        <v>100</v>
      </c>
      <c r="V23" s="699" t="s">
        <v>14</v>
      </c>
      <c r="W23" s="700">
        <f>J23</f>
        <v>100</v>
      </c>
      <c r="X23" s="701"/>
      <c r="Y23" s="3863"/>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3"/>
      <c r="M24" s="2714"/>
      <c r="N24" s="2714"/>
      <c r="O24" s="2768"/>
      <c r="P24" s="3863"/>
      <c r="Q24" s="1339"/>
      <c r="R24" s="699"/>
      <c r="S24" s="700"/>
      <c r="T24" s="699"/>
      <c r="U24" s="700"/>
      <c r="V24" s="699"/>
      <c r="W24" s="700"/>
      <c r="X24" s="701"/>
      <c r="Y24" s="3863"/>
      <c r="Z24" s="52"/>
      <c r="AA24" s="702">
        <v>1</v>
      </c>
      <c r="AB24" s="702">
        <v>1</v>
      </c>
      <c r="AC24" s="702">
        <v>1</v>
      </c>
    </row>
    <row r="25" spans="1:29" s="108" customFormat="1" ht="41.4">
      <c r="A25" s="596"/>
      <c r="B25" s="580" t="s">
        <v>1775</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863"/>
      <c r="Q25" s="1339" t="str">
        <f t="shared" ref="Q25" si="9">B25</f>
        <v>基础设施水平</v>
      </c>
      <c r="R25" s="699" t="s">
        <v>14</v>
      </c>
      <c r="S25" s="700">
        <f>F25</f>
        <v>100</v>
      </c>
      <c r="T25" s="699" t="s">
        <v>14</v>
      </c>
      <c r="U25" s="700">
        <f>H25</f>
        <v>100</v>
      </c>
      <c r="V25" s="699" t="s">
        <v>14</v>
      </c>
      <c r="W25" s="700">
        <f>J25</f>
        <v>100</v>
      </c>
      <c r="X25" s="701"/>
      <c r="Y25" s="3863"/>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3"/>
      <c r="M26" s="2714"/>
      <c r="N26" s="2714"/>
      <c r="O26" s="2768"/>
      <c r="P26" s="3863"/>
      <c r="Q26" s="1339"/>
      <c r="R26" s="699"/>
      <c r="S26" s="700"/>
      <c r="T26" s="699"/>
      <c r="U26" s="700"/>
      <c r="V26" s="699"/>
      <c r="W26" s="700"/>
      <c r="X26" s="701"/>
      <c r="Y26" s="3863"/>
      <c r="Z26" s="52"/>
      <c r="AA26" s="702">
        <v>1</v>
      </c>
      <c r="AB26" s="702">
        <v>1</v>
      </c>
      <c r="AC26" s="702">
        <v>1</v>
      </c>
    </row>
    <row r="27" spans="1:29" ht="15">
      <c r="A27" s="378"/>
      <c r="B27" s="579" t="s">
        <v>1776</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863"/>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863"/>
      <c r="Z27" s="1352" t="str">
        <f t="shared" ref="Z27:Z40" si="13">Q27</f>
        <v>临街状况</v>
      </c>
      <c r="AA27" s="1349">
        <f t="shared" si="3"/>
        <v>1</v>
      </c>
      <c r="AB27" s="1349">
        <f t="shared" si="4"/>
        <v>1</v>
      </c>
      <c r="AC27" s="1349">
        <f t="shared" si="5"/>
        <v>1</v>
      </c>
    </row>
    <row r="28" spans="1:29" ht="28.8">
      <c r="A28" s="378"/>
      <c r="B28" s="580" t="s">
        <v>1811</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863"/>
      <c r="Q28" s="1348" t="str">
        <f t="shared" si="8"/>
        <v>毗邻道路的类型与等级</v>
      </c>
      <c r="R28" s="703" t="s">
        <v>14</v>
      </c>
      <c r="S28" s="704">
        <f t="shared" si="10"/>
        <v>100</v>
      </c>
      <c r="T28" s="703" t="s">
        <v>14</v>
      </c>
      <c r="U28" s="704">
        <f t="shared" si="11"/>
        <v>100</v>
      </c>
      <c r="V28" s="703" t="s">
        <v>14</v>
      </c>
      <c r="W28" s="704">
        <f t="shared" si="12"/>
        <v>100</v>
      </c>
      <c r="X28" s="1351"/>
      <c r="Y28" s="3863"/>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8"/>
      <c r="M29" s="2712"/>
      <c r="N29" s="2712"/>
      <c r="O29" s="2770"/>
      <c r="P29" s="3863"/>
      <c r="Q29" s="1348"/>
      <c r="R29" s="703"/>
      <c r="S29" s="704"/>
      <c r="T29" s="703"/>
      <c r="U29" s="704"/>
      <c r="V29" s="703"/>
      <c r="W29" s="704"/>
      <c r="X29" s="1351"/>
      <c r="Y29" s="3863"/>
      <c r="Z29" s="1352"/>
      <c r="AA29" s="1349">
        <v>1</v>
      </c>
      <c r="AB29" s="1349">
        <v>1</v>
      </c>
      <c r="AC29" s="1349">
        <v>1</v>
      </c>
    </row>
    <row r="30" spans="1:29" ht="15">
      <c r="A30" s="378"/>
      <c r="B30" s="601" t="s">
        <v>1869</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863"/>
      <c r="Q30" s="1348" t="str">
        <f t="shared" si="8"/>
        <v>土地级别</v>
      </c>
      <c r="R30" s="703" t="s">
        <v>14</v>
      </c>
      <c r="S30" s="704">
        <f t="shared" si="10"/>
        <v>100</v>
      </c>
      <c r="T30" s="703" t="s">
        <v>14</v>
      </c>
      <c r="U30" s="704">
        <f t="shared" si="11"/>
        <v>100</v>
      </c>
      <c r="V30" s="703" t="s">
        <v>14</v>
      </c>
      <c r="W30" s="704">
        <f t="shared" si="12"/>
        <v>100</v>
      </c>
      <c r="X30" s="1351"/>
      <c r="Y30" s="3863"/>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863"/>
      <c r="Q31" s="1348">
        <f t="shared" si="8"/>
        <v>111</v>
      </c>
      <c r="R31" s="703" t="s">
        <v>14</v>
      </c>
      <c r="S31" s="704">
        <f t="shared" si="10"/>
        <v>100</v>
      </c>
      <c r="T31" s="703" t="s">
        <v>14</v>
      </c>
      <c r="U31" s="704">
        <f t="shared" si="11"/>
        <v>100</v>
      </c>
      <c r="V31" s="703" t="s">
        <v>14</v>
      </c>
      <c r="W31" s="704">
        <f t="shared" si="12"/>
        <v>100</v>
      </c>
      <c r="X31" s="1351"/>
      <c r="Y31" s="3863"/>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886" t="s">
        <v>1692</v>
      </c>
      <c r="Q32" s="1348">
        <f t="shared" si="8"/>
        <v>111</v>
      </c>
      <c r="R32" s="703" t="s">
        <v>14</v>
      </c>
      <c r="S32" s="704">
        <f t="shared" si="10"/>
        <v>100</v>
      </c>
      <c r="T32" s="703" t="s">
        <v>14</v>
      </c>
      <c r="U32" s="704">
        <f t="shared" si="11"/>
        <v>100</v>
      </c>
      <c r="V32" s="703" t="s">
        <v>14</v>
      </c>
      <c r="W32" s="704">
        <f t="shared" si="12"/>
        <v>100</v>
      </c>
      <c r="X32" s="1351"/>
      <c r="Y32" s="3867" t="s">
        <v>1692</v>
      </c>
      <c r="Z32" s="1352">
        <f t="shared" si="13"/>
        <v>111</v>
      </c>
      <c r="AA32" s="1349">
        <f t="shared" si="3"/>
        <v>1</v>
      </c>
      <c r="AB32" s="1349">
        <f t="shared" si="4"/>
        <v>1</v>
      </c>
      <c r="AC32" s="1349">
        <f t="shared" si="5"/>
        <v>1</v>
      </c>
    </row>
    <row r="33" spans="1:31" s="421" customFormat="1" ht="15.6"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867"/>
      <c r="Q33" s="1348">
        <f t="shared" si="8"/>
        <v>111</v>
      </c>
      <c r="R33" s="706" t="s">
        <v>14</v>
      </c>
      <c r="S33" s="707">
        <f t="shared" si="10"/>
        <v>100</v>
      </c>
      <c r="T33" s="706" t="s">
        <v>14</v>
      </c>
      <c r="U33" s="707">
        <f t="shared" si="11"/>
        <v>100</v>
      </c>
      <c r="V33" s="706" t="s">
        <v>14</v>
      </c>
      <c r="W33" s="707">
        <f t="shared" si="12"/>
        <v>100</v>
      </c>
      <c r="X33" s="708"/>
      <c r="Y33" s="3867"/>
      <c r="Z33" s="709">
        <f t="shared" si="13"/>
        <v>111</v>
      </c>
      <c r="AA33" s="1349">
        <f t="shared" si="3"/>
        <v>1</v>
      </c>
      <c r="AB33" s="1349">
        <f t="shared" si="4"/>
        <v>1</v>
      </c>
      <c r="AC33" s="1349">
        <f t="shared" si="5"/>
        <v>1</v>
      </c>
    </row>
    <row r="34" spans="1:31" ht="15">
      <c r="A34" s="390" t="s">
        <v>1690</v>
      </c>
      <c r="B34" s="406" t="s">
        <v>1870</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867"/>
      <c r="Q34" s="1348" t="str">
        <f>B34</f>
        <v>宗地面积</v>
      </c>
      <c r="R34" s="703" t="s">
        <v>14</v>
      </c>
      <c r="S34" s="704" t="e">
        <f t="shared" si="10"/>
        <v>#N/A</v>
      </c>
      <c r="T34" s="703" t="s">
        <v>14</v>
      </c>
      <c r="U34" s="704" t="e">
        <f t="shared" si="11"/>
        <v>#N/A</v>
      </c>
      <c r="V34" s="703" t="s">
        <v>14</v>
      </c>
      <c r="W34" s="704" t="e">
        <f t="shared" si="12"/>
        <v>#N/A</v>
      </c>
      <c r="X34" s="1351"/>
      <c r="Y34" s="3867"/>
      <c r="Z34" s="1352" t="str">
        <f t="shared" si="13"/>
        <v>宗地面积</v>
      </c>
      <c r="AA34" s="1349" t="e">
        <f t="shared" si="3"/>
        <v>#N/A</v>
      </c>
      <c r="AB34" s="1349" t="e">
        <f t="shared" si="4"/>
        <v>#N/A</v>
      </c>
      <c r="AC34" s="1349" t="e">
        <f t="shared" si="5"/>
        <v>#N/A</v>
      </c>
    </row>
    <row r="35" spans="1:31" ht="15">
      <c r="A35" s="422"/>
      <c r="B35" s="374" t="s">
        <v>1871</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8"/>
      <c r="M35" s="2712"/>
      <c r="N35" s="2712"/>
      <c r="O35" s="2770"/>
      <c r="P35" s="3867"/>
      <c r="Q35" s="1348" t="str">
        <f t="shared" ref="Q35:Q40" si="14">B35</f>
        <v>宗地形状</v>
      </c>
      <c r="R35" s="703" t="s">
        <v>14</v>
      </c>
      <c r="S35" s="704">
        <f t="shared" si="10"/>
        <v>100</v>
      </c>
      <c r="T35" s="703" t="s">
        <v>14</v>
      </c>
      <c r="U35" s="704">
        <f t="shared" si="11"/>
        <v>100</v>
      </c>
      <c r="V35" s="703" t="s">
        <v>14</v>
      </c>
      <c r="W35" s="704">
        <f t="shared" si="12"/>
        <v>100</v>
      </c>
      <c r="X35" s="1351"/>
      <c r="Y35" s="3867"/>
      <c r="Z35" s="1352" t="str">
        <f t="shared" si="13"/>
        <v>宗地形状</v>
      </c>
      <c r="AA35" s="1349">
        <f t="shared" si="3"/>
        <v>1</v>
      </c>
      <c r="AB35" s="1349">
        <f t="shared" si="4"/>
        <v>1</v>
      </c>
      <c r="AC35" s="1349">
        <f t="shared" si="5"/>
        <v>1</v>
      </c>
    </row>
    <row r="36" spans="1:31" s="108" customFormat="1" ht="15">
      <c r="A36" s="423"/>
      <c r="B36" s="374" t="s">
        <v>1873</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3"/>
      <c r="M36" s="2714"/>
      <c r="N36" s="2714"/>
      <c r="O36" s="2768"/>
      <c r="P36" s="3867"/>
      <c r="Q36" s="1348" t="str">
        <f t="shared" si="14"/>
        <v>宗地开发程度</v>
      </c>
      <c r="R36" s="699" t="s">
        <v>14</v>
      </c>
      <c r="S36" s="700">
        <f t="shared" si="10"/>
        <v>100</v>
      </c>
      <c r="T36" s="699" t="s">
        <v>14</v>
      </c>
      <c r="U36" s="700">
        <f t="shared" si="11"/>
        <v>100</v>
      </c>
      <c r="V36" s="699" t="s">
        <v>14</v>
      </c>
      <c r="W36" s="700">
        <f t="shared" si="12"/>
        <v>100</v>
      </c>
      <c r="X36" s="701"/>
      <c r="Y36" s="3867"/>
      <c r="Z36" s="52" t="str">
        <f t="shared" si="13"/>
        <v>宗地开发程度</v>
      </c>
      <c r="AA36" s="702">
        <f t="shared" si="3"/>
        <v>1</v>
      </c>
      <c r="AB36" s="702">
        <f t="shared" si="4"/>
        <v>1</v>
      </c>
      <c r="AC36" s="702">
        <f t="shared" si="5"/>
        <v>1</v>
      </c>
    </row>
    <row r="37" spans="1:31" ht="15">
      <c r="A37" s="422"/>
      <c r="B37" s="374" t="s">
        <v>1874</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8"/>
      <c r="M37" s="2712"/>
      <c r="N37" s="2712"/>
      <c r="O37" s="2770"/>
      <c r="P37" s="3867" t="s">
        <v>1692</v>
      </c>
      <c r="Q37" s="1348" t="str">
        <f t="shared" si="14"/>
        <v>工程地质条件</v>
      </c>
      <c r="R37" s="703" t="s">
        <v>14</v>
      </c>
      <c r="S37" s="704">
        <f t="shared" si="10"/>
        <v>100</v>
      </c>
      <c r="T37" s="703" t="s">
        <v>14</v>
      </c>
      <c r="U37" s="704">
        <f t="shared" si="11"/>
        <v>100</v>
      </c>
      <c r="V37" s="703" t="s">
        <v>14</v>
      </c>
      <c r="W37" s="704">
        <f t="shared" si="12"/>
        <v>100</v>
      </c>
      <c r="X37" s="1351"/>
      <c r="Y37" s="3867" t="s">
        <v>1692</v>
      </c>
      <c r="Z37" s="1352" t="str">
        <f t="shared" si="13"/>
        <v>工程地质条件</v>
      </c>
      <c r="AA37" s="1349">
        <f t="shared" si="3"/>
        <v>1</v>
      </c>
      <c r="AB37" s="1349">
        <f t="shared" si="4"/>
        <v>1</v>
      </c>
      <c r="AC37" s="1349">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867"/>
      <c r="Q38" s="1348">
        <f t="shared" si="14"/>
        <v>111</v>
      </c>
      <c r="R38" s="703" t="s">
        <v>14</v>
      </c>
      <c r="S38" s="704">
        <f t="shared" si="10"/>
        <v>100</v>
      </c>
      <c r="T38" s="703" t="s">
        <v>14</v>
      </c>
      <c r="U38" s="704">
        <f t="shared" si="11"/>
        <v>100</v>
      </c>
      <c r="V38" s="703" t="s">
        <v>14</v>
      </c>
      <c r="W38" s="704">
        <f t="shared" si="12"/>
        <v>100</v>
      </c>
      <c r="X38" s="1351"/>
      <c r="Y38" s="3867"/>
      <c r="Z38" s="1352">
        <f t="shared" si="13"/>
        <v>111</v>
      </c>
      <c r="AA38" s="1349">
        <f t="shared" si="3"/>
        <v>1</v>
      </c>
      <c r="AB38" s="1349">
        <f t="shared" si="4"/>
        <v>1</v>
      </c>
      <c r="AC38" s="1349">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867"/>
      <c r="Q39" s="1348">
        <f t="shared" si="14"/>
        <v>111</v>
      </c>
      <c r="R39" s="703" t="s">
        <v>14</v>
      </c>
      <c r="S39" s="704">
        <f t="shared" si="10"/>
        <v>100</v>
      </c>
      <c r="T39" s="703" t="s">
        <v>14</v>
      </c>
      <c r="U39" s="704">
        <f t="shared" si="11"/>
        <v>100</v>
      </c>
      <c r="V39" s="703" t="s">
        <v>14</v>
      </c>
      <c r="W39" s="704">
        <f t="shared" si="12"/>
        <v>100</v>
      </c>
      <c r="X39" s="1351"/>
      <c r="Y39" s="3867"/>
      <c r="Z39" s="1352">
        <f t="shared" si="13"/>
        <v>111</v>
      </c>
      <c r="AA39" s="1349">
        <f t="shared" si="3"/>
        <v>1</v>
      </c>
      <c r="AB39" s="1349">
        <f t="shared" si="4"/>
        <v>1</v>
      </c>
      <c r="AC39" s="1349">
        <f t="shared" si="5"/>
        <v>1</v>
      </c>
    </row>
    <row r="40" spans="1:31" s="421" customFormat="1" ht="15.6" thickBot="1">
      <c r="A40" s="418"/>
      <c r="B40" s="1130">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867"/>
      <c r="Q40" s="1348">
        <f t="shared" si="14"/>
        <v>111</v>
      </c>
      <c r="R40" s="706" t="s">
        <v>14</v>
      </c>
      <c r="S40" s="707">
        <f t="shared" si="10"/>
        <v>100</v>
      </c>
      <c r="T40" s="706" t="s">
        <v>14</v>
      </c>
      <c r="U40" s="707">
        <f t="shared" si="11"/>
        <v>100</v>
      </c>
      <c r="V40" s="706" t="s">
        <v>14</v>
      </c>
      <c r="W40" s="707">
        <f t="shared" si="12"/>
        <v>100</v>
      </c>
      <c r="X40" s="708"/>
      <c r="Y40" s="3867"/>
      <c r="Z40" s="709">
        <f t="shared" si="13"/>
        <v>111</v>
      </c>
      <c r="AA40" s="1349">
        <f t="shared" si="3"/>
        <v>1</v>
      </c>
      <c r="AB40" s="1349">
        <f t="shared" si="4"/>
        <v>1</v>
      </c>
      <c r="AC40" s="1349">
        <f t="shared" si="5"/>
        <v>1</v>
      </c>
    </row>
    <row r="41" spans="1:31" ht="14.4">
      <c r="A41" s="429" t="s">
        <v>1840</v>
      </c>
      <c r="B41" s="1978" t="s">
        <v>1918</v>
      </c>
      <c r="C41" s="629" t="s">
        <v>0</v>
      </c>
      <c r="D41" s="431"/>
      <c r="E41" s="432"/>
      <c r="F41" s="433"/>
      <c r="G41" s="434"/>
      <c r="H41" s="435"/>
      <c r="I41" s="432"/>
      <c r="J41" s="435"/>
      <c r="K41" s="712"/>
      <c r="L41" s="2720"/>
      <c r="M41" s="2712"/>
      <c r="N41" s="2712"/>
      <c r="O41" s="2721"/>
      <c r="P41" s="3860" t="str">
        <f>A41</f>
        <v>成交单价</v>
      </c>
      <c r="Q41" s="3860"/>
      <c r="R41" s="3855">
        <f>E41</f>
        <v>0</v>
      </c>
      <c r="S41" s="3855"/>
      <c r="T41" s="3855">
        <f>G41</f>
        <v>0</v>
      </c>
      <c r="U41" s="3855"/>
      <c r="V41" s="3855">
        <f>I41</f>
        <v>0</v>
      </c>
      <c r="W41" s="3855"/>
      <c r="X41" s="688"/>
      <c r="Y41" s="710"/>
      <c r="Z41" s="688"/>
      <c r="AA41" s="688"/>
      <c r="AB41" s="688"/>
      <c r="AC41" s="688"/>
    </row>
    <row r="42" spans="1:31" ht="15" thickBot="1">
      <c r="A42" s="436" t="s">
        <v>1789</v>
      </c>
      <c r="B42" s="630"/>
      <c r="C42" s="439" t="e">
        <f>R43</f>
        <v>#DIV/0!</v>
      </c>
      <c r="D42" s="2313" t="s">
        <v>2134</v>
      </c>
      <c r="E42" s="439" t="e">
        <f>R42</f>
        <v>#DIV/0!</v>
      </c>
      <c r="F42" s="2314"/>
      <c r="G42" s="438" t="e">
        <f>T42</f>
        <v>#DIV/0!</v>
      </c>
      <c r="H42" s="2314"/>
      <c r="I42" s="439" t="e">
        <f>V42</f>
        <v>#DIV/0!</v>
      </c>
      <c r="J42" s="2314"/>
      <c r="K42" s="2316">
        <f>F42+H42+J42</f>
        <v>0</v>
      </c>
      <c r="L42" s="2720"/>
      <c r="M42" s="2712"/>
      <c r="N42" s="2712"/>
      <c r="O42" s="2721"/>
      <c r="P42" s="3860" t="str">
        <f>A42</f>
        <v>比较价值（元/平方米）</v>
      </c>
      <c r="Q42" s="3860"/>
      <c r="R42" s="3888" t="e">
        <f>ROUND(PRODUCT(R41,AA7:AA40),0)</f>
        <v>#DIV/0!</v>
      </c>
      <c r="S42" s="3888"/>
      <c r="T42" s="3888" t="e">
        <f>ROUND(PRODUCT(T41,AB7:AB40),0)</f>
        <v>#DIV/0!</v>
      </c>
      <c r="U42" s="3888"/>
      <c r="V42" s="3888" t="e">
        <f>ROUND(PRODUCT(V41,AC7:AC40),0)</f>
        <v>#DIV/0!</v>
      </c>
      <c r="W42" s="3888"/>
      <c r="X42" s="688"/>
      <c r="Y42" s="688"/>
      <c r="Z42" s="688"/>
      <c r="AA42" s="688"/>
      <c r="AB42" s="688"/>
      <c r="AC42" s="688"/>
    </row>
    <row r="43" spans="1:31" ht="15" thickBot="1">
      <c r="A43" s="440" t="s">
        <v>1790</v>
      </c>
      <c r="B43" s="441"/>
      <c r="C43" s="442" t="e">
        <f>R43</f>
        <v>#DIV/0!</v>
      </c>
      <c r="D43" s="442"/>
      <c r="E43" s="442"/>
      <c r="F43" s="442"/>
      <c r="G43" s="442"/>
      <c r="H43" s="442"/>
      <c r="I43" s="442"/>
      <c r="J43" s="442"/>
      <c r="K43" s="713"/>
      <c r="L43" s="2720"/>
      <c r="M43" s="2712"/>
      <c r="N43" s="2712"/>
      <c r="O43" s="2721"/>
      <c r="P43" s="3857" t="str">
        <f>A43</f>
        <v>估价对象XX用房的比较价值（楼面单价，元/平方米）</v>
      </c>
      <c r="Q43" s="3858"/>
      <c r="R43" s="3889" t="e">
        <f>ROUND(IF(D42="简单平均",AVERAGE(R42:W42),R42*F42+T42*H42+V42*J42),0)</f>
        <v>#DIV/0!</v>
      </c>
      <c r="S43" s="3889"/>
      <c r="T43" s="3889"/>
      <c r="U43" s="3889"/>
      <c r="V43" s="3889"/>
      <c r="W43" s="3889"/>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4.4"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1" t="s">
        <v>1877</v>
      </c>
      <c r="B50" s="632" t="s">
        <v>1878</v>
      </c>
      <c r="C50" s="1979" t="s">
        <v>1879</v>
      </c>
      <c r="D50" s="1980" t="s">
        <v>1880</v>
      </c>
      <c r="E50" s="633" t="s">
        <v>1881</v>
      </c>
      <c r="F50" s="634" t="s">
        <v>1882</v>
      </c>
      <c r="G50" s="3843" t="s">
        <v>1883</v>
      </c>
      <c r="H50" s="3890"/>
      <c r="I50" s="1352" t="s">
        <v>1919</v>
      </c>
      <c r="J50" s="1352">
        <f>项目基本情况!F35</f>
        <v>0</v>
      </c>
      <c r="K50" s="1982" t="s">
        <v>1885</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1886</v>
      </c>
      <c r="B51" s="636" t="e">
        <f>C43</f>
        <v>#DIV/0!</v>
      </c>
      <c r="C51" s="637">
        <v>1</v>
      </c>
      <c r="D51" s="940">
        <v>1</v>
      </c>
      <c r="E51" s="637">
        <f>'数据-汇总表'!E8+'数据-汇总表'!E9</f>
        <v>19830.27</v>
      </c>
      <c r="F51" s="638" t="e">
        <f t="shared" ref="F51:F60" si="15">ROUND(B51*E51/10000,0)</f>
        <v>#DIV/0!</v>
      </c>
      <c r="G51" s="3842"/>
      <c r="H51" s="3860"/>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1887</v>
      </c>
      <c r="B52" s="217" t="e">
        <f>ROUND($C$43*C52*D52,0)</f>
        <v>#DIV/0!</v>
      </c>
      <c r="C52" s="170">
        <f t="shared" ref="C52:C60" si="16">IF($C$50="北京市系数",I52,J52)</f>
        <v>0.6</v>
      </c>
      <c r="D52" s="941">
        <v>0.25</v>
      </c>
      <c r="E52" s="641"/>
      <c r="F52" s="638" t="e">
        <f t="shared" si="15"/>
        <v>#DIV/0!</v>
      </c>
      <c r="G52" s="3002" t="s">
        <v>1888</v>
      </c>
      <c r="H52" s="883" t="str">
        <f>项目基本情况!B37</f>
        <v>五级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1889</v>
      </c>
      <c r="B53" s="217" t="e">
        <f t="shared" ref="B53:B60" si="17">ROUND($C$43*C53*D53,0)</f>
        <v>#DIV/0!</v>
      </c>
      <c r="C53" s="170">
        <f t="shared" si="16"/>
        <v>0.3</v>
      </c>
      <c r="D53" s="941">
        <v>0.25</v>
      </c>
      <c r="E53" s="641"/>
      <c r="F53" s="638" t="e">
        <f t="shared" si="15"/>
        <v>#DIV/0!</v>
      </c>
      <c r="G53" s="3003"/>
      <c r="H53" s="883" t="str">
        <f>项目基本情况!B37</f>
        <v>五级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1890</v>
      </c>
      <c r="B54" s="217" t="e">
        <f t="shared" si="17"/>
        <v>#DIV/0!</v>
      </c>
      <c r="C54" s="170">
        <f t="shared" si="16"/>
        <v>0.25</v>
      </c>
      <c r="D54" s="941">
        <v>0.25</v>
      </c>
      <c r="E54" s="641"/>
      <c r="F54" s="638" t="e">
        <f t="shared" si="15"/>
        <v>#DIV/0!</v>
      </c>
      <c r="G54" s="3003"/>
      <c r="H54" s="883" t="str">
        <f>项目基本情况!B37</f>
        <v>五级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1891</v>
      </c>
      <c r="B56" s="217" t="e">
        <f t="shared" si="17"/>
        <v>#DIV/0!</v>
      </c>
      <c r="C56" s="170">
        <f t="shared" si="16"/>
        <v>0</v>
      </c>
      <c r="D56" s="941">
        <v>0.25</v>
      </c>
      <c r="E56" s="216">
        <f>'数据-汇总表'!E11</f>
        <v>0</v>
      </c>
      <c r="F56" s="638" t="e">
        <f t="shared" si="15"/>
        <v>#DIV/0!</v>
      </c>
      <c r="G56" s="1983" t="s">
        <v>1892</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1893</v>
      </c>
      <c r="B57" s="217" t="e">
        <f t="shared" si="17"/>
        <v>#DIV/0!</v>
      </c>
      <c r="C57" s="170">
        <f t="shared" si="16"/>
        <v>0</v>
      </c>
      <c r="D57" s="941">
        <v>0.25</v>
      </c>
      <c r="E57" s="216">
        <f>'数据-汇总表'!E12</f>
        <v>0</v>
      </c>
      <c r="F57" s="638" t="e">
        <f t="shared" si="15"/>
        <v>#DIV/0!</v>
      </c>
      <c r="G57" s="888" t="s">
        <v>1894</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1895</v>
      </c>
      <c r="B58" s="217" t="e">
        <f t="shared" si="17"/>
        <v>#DIV/0!</v>
      </c>
      <c r="C58" s="170">
        <f t="shared" si="16"/>
        <v>0</v>
      </c>
      <c r="D58" s="941">
        <v>0.25</v>
      </c>
      <c r="E58" s="216">
        <f>'数据-汇总表'!E13</f>
        <v>0</v>
      </c>
      <c r="F58" s="638" t="e">
        <f t="shared" si="15"/>
        <v>#DIV/0!</v>
      </c>
      <c r="G58" s="888" t="s">
        <v>1896</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1897</v>
      </c>
      <c r="B59" s="217" t="e">
        <f t="shared" si="17"/>
        <v>#DIV/0!</v>
      </c>
      <c r="C59" s="170">
        <f t="shared" si="16"/>
        <v>0.15</v>
      </c>
      <c r="D59" s="941">
        <v>0.25</v>
      </c>
      <c r="E59" s="216">
        <f>'数据-汇总表'!E14</f>
        <v>30659.07</v>
      </c>
      <c r="F59" s="638" t="e">
        <f t="shared" si="15"/>
        <v>#DIV/0!</v>
      </c>
      <c r="G59" s="1983" t="s">
        <v>1888</v>
      </c>
      <c r="H59" s="883" t="str">
        <f>项目基本情况!B37</f>
        <v>五级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4.4" thickBot="1">
      <c r="A60" s="640" t="s">
        <v>1898</v>
      </c>
      <c r="B60" s="217" t="e">
        <f t="shared" si="17"/>
        <v>#DIV/0!</v>
      </c>
      <c r="C60" s="170">
        <f t="shared" si="16"/>
        <v>0</v>
      </c>
      <c r="D60" s="941">
        <v>0.25</v>
      </c>
      <c r="E60" s="216">
        <f>'数据-汇总表'!E15</f>
        <v>0</v>
      </c>
      <c r="F60" s="638" t="e">
        <f t="shared" si="15"/>
        <v>#DIV/0!</v>
      </c>
      <c r="G60" s="1984" t="s">
        <v>1892</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4.4" thickBot="1">
      <c r="A61" s="642" t="s">
        <v>1899</v>
      </c>
      <c r="B61" s="643" t="s">
        <v>22</v>
      </c>
      <c r="C61" s="643" t="s">
        <v>23</v>
      </c>
      <c r="D61" s="643" t="s">
        <v>392</v>
      </c>
      <c r="E61" s="643">
        <f>IF(B41="楼面地价",SUM(E51:E60),'数据-汇总表'!D3)</f>
        <v>12540.52</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21"/>
      <c r="Q63" s="2721"/>
      <c r="R63" s="2721"/>
      <c r="S63" s="2721"/>
      <c r="T63" s="2721"/>
      <c r="U63" s="2721"/>
      <c r="V63" s="2721"/>
      <c r="W63" s="2721"/>
      <c r="X63" s="2721"/>
      <c r="Y63" s="2721"/>
      <c r="Z63" s="2721"/>
      <c r="AA63" s="2721"/>
      <c r="AB63" s="2721"/>
      <c r="AC63" s="2721"/>
      <c r="AD63" s="2721"/>
      <c r="AE63" s="2721"/>
    </row>
    <row r="64" spans="1:31" ht="22.2" thickBot="1">
      <c r="A64" s="692" t="s">
        <v>1794</v>
      </c>
      <c r="B64" s="688"/>
      <c r="C64" s="693"/>
      <c r="D64" s="693"/>
      <c r="E64" s="693"/>
      <c r="F64" s="694"/>
      <c r="G64" s="694"/>
      <c r="H64" s="693"/>
      <c r="I64" s="693"/>
      <c r="J64" s="693"/>
      <c r="K64" s="695"/>
      <c r="L64" s="696"/>
      <c r="M64" s="693"/>
      <c r="N64" s="693"/>
      <c r="O64" s="936"/>
      <c r="P64" s="2765"/>
      <c r="Q64" s="2735"/>
      <c r="R64" s="2721"/>
      <c r="S64" s="2721"/>
      <c r="T64" s="2721"/>
      <c r="U64" s="2721"/>
      <c r="V64" s="2721"/>
      <c r="W64" s="2721"/>
      <c r="X64" s="2721"/>
      <c r="Y64" s="2721"/>
      <c r="Z64" s="2721"/>
      <c r="AA64" s="2721"/>
      <c r="AB64" s="2721"/>
      <c r="AC64" s="2721"/>
      <c r="AD64" s="2721"/>
      <c r="AE64" s="2721"/>
    </row>
    <row r="65" spans="1:31" s="456" customFormat="1" ht="14.4">
      <c r="A65" s="1985" t="s">
        <v>1900</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 thickBot="1">
      <c r="A67" s="463" t="s">
        <v>1712</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4.4">
      <c r="A68" s="469" t="s">
        <v>1677</v>
      </c>
      <c r="B68" s="458"/>
      <c r="C68" s="470" t="s">
        <v>1772</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ht="14.4">
      <c r="A70" s="475" t="s">
        <v>1715</v>
      </c>
      <c r="B70" s="476" t="s">
        <v>1681</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2"/>
      <c r="B72" s="486" t="s">
        <v>1684</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2"/>
      <c r="B74" s="494" t="s">
        <v>1685</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4.4"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4.4"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4.4"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4.4"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4.4"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4.4"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ht="14.4">
      <c r="A83" s="475" t="s">
        <v>1686</v>
      </c>
      <c r="B83" s="476" t="s">
        <v>1825</v>
      </c>
      <c r="C83" s="521" t="s">
        <v>1717</v>
      </c>
      <c r="D83" s="521" t="s">
        <v>1718</v>
      </c>
      <c r="E83" s="521" t="s">
        <v>1719</v>
      </c>
      <c r="F83" s="521" t="s">
        <v>1720</v>
      </c>
      <c r="G83" s="521" t="s">
        <v>1721</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2"/>
      <c r="B85" s="486" t="s">
        <v>1722</v>
      </c>
      <c r="C85" s="526" t="s">
        <v>1717</v>
      </c>
      <c r="D85" s="526" t="s">
        <v>1718</v>
      </c>
      <c r="E85" s="526" t="s">
        <v>1719</v>
      </c>
      <c r="F85" s="526" t="s">
        <v>1720</v>
      </c>
      <c r="G85" s="526" t="s">
        <v>1721</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7"/>
      <c r="B87" s="486" t="s">
        <v>1903</v>
      </c>
      <c r="C87" s="521" t="s">
        <v>1717</v>
      </c>
      <c r="D87" s="521" t="s">
        <v>1718</v>
      </c>
      <c r="E87" s="521" t="s">
        <v>1719</v>
      </c>
      <c r="F87" s="521" t="s">
        <v>1720</v>
      </c>
      <c r="G87" s="521" t="s">
        <v>1721</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7"/>
      <c r="B89" s="486" t="s">
        <v>1904</v>
      </c>
      <c r="C89" s="521" t="s">
        <v>1717</v>
      </c>
      <c r="D89" s="521" t="s">
        <v>1718</v>
      </c>
      <c r="E89" s="521" t="s">
        <v>1719</v>
      </c>
      <c r="F89" s="521" t="s">
        <v>1720</v>
      </c>
      <c r="G89" s="521" t="s">
        <v>1721</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 thickTop="1">
      <c r="A91" s="501"/>
      <c r="B91" s="486" t="s">
        <v>1774</v>
      </c>
      <c r="C91" s="521" t="s">
        <v>1717</v>
      </c>
      <c r="D91" s="521" t="s">
        <v>1718</v>
      </c>
      <c r="E91" s="521" t="s">
        <v>1719</v>
      </c>
      <c r="F91" s="521" t="s">
        <v>1720</v>
      </c>
      <c r="G91" s="521" t="s">
        <v>1721</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 thickTop="1">
      <c r="A93" s="501"/>
      <c r="B93" s="494" t="s">
        <v>1921</v>
      </c>
      <c r="C93" s="607" t="s">
        <v>1795</v>
      </c>
      <c r="D93" s="607" t="s">
        <v>1796</v>
      </c>
      <c r="E93" s="607" t="s">
        <v>1797</v>
      </c>
      <c r="F93" s="607" t="s">
        <v>1798</v>
      </c>
      <c r="G93" s="607" t="s">
        <v>1799</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28"/>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2"/>
      <c r="B95" s="486" t="str">
        <f>B27</f>
        <v>临街状况</v>
      </c>
      <c r="C95" s="487" t="s">
        <v>1905</v>
      </c>
      <c r="D95" s="487" t="s">
        <v>1906</v>
      </c>
      <c r="E95" s="487" t="s">
        <v>1907</v>
      </c>
      <c r="F95" s="487" t="s">
        <v>1908</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2"/>
      <c r="B97" s="486" t="s">
        <v>1811</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2"/>
      <c r="B99" s="486" t="s">
        <v>1869</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4.4"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4.4"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5" t="s">
        <v>1690</v>
      </c>
      <c r="B107" s="476" t="s">
        <v>1909</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1910</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1912</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1913</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4.4"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4.4"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79" t="s">
        <v>2079</v>
      </c>
      <c r="C1" s="3898" t="s">
        <v>2080</v>
      </c>
      <c r="D1" s="3899"/>
      <c r="E1" s="3899"/>
      <c r="F1" s="3899"/>
      <c r="G1" s="3899"/>
      <c r="H1" s="3899"/>
      <c r="I1" s="3899"/>
      <c r="J1" s="3899"/>
      <c r="K1" s="3899"/>
      <c r="L1" s="3899"/>
      <c r="M1" s="3899"/>
      <c r="N1" s="3899"/>
      <c r="O1" s="3899"/>
      <c r="P1" s="3899"/>
      <c r="Q1" s="3899"/>
      <c r="R1" s="3899"/>
      <c r="S1" s="3900"/>
      <c r="T1" s="979" t="s">
        <v>2081</v>
      </c>
    </row>
    <row r="2" spans="1:45" s="654" customFormat="1">
      <c r="A2" s="980"/>
      <c r="B2" s="650" t="s">
        <v>2082</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8" thickBot="1">
      <c r="A4" s="983"/>
      <c r="B4" s="984"/>
      <c r="C4" s="985"/>
      <c r="D4" s="986"/>
      <c r="E4" s="986"/>
      <c r="F4" s="1305"/>
      <c r="G4" s="1305"/>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0"/>
      <c r="B5" s="1332" t="s">
        <v>2083</v>
      </c>
      <c r="C5" s="991"/>
      <c r="D5" s="992"/>
      <c r="E5" s="992"/>
      <c r="F5" s="1308"/>
      <c r="G5" s="1308"/>
      <c r="H5" s="1308"/>
      <c r="I5" s="1308"/>
      <c r="J5" s="1308"/>
      <c r="K5" s="1308"/>
      <c r="L5" s="1309"/>
      <c r="M5" s="1310"/>
      <c r="N5" s="1310"/>
      <c r="O5" s="1308"/>
      <c r="P5" s="1308"/>
      <c r="Q5" s="1308"/>
      <c r="R5" s="1308"/>
      <c r="S5" s="1311"/>
      <c r="T5" s="994"/>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2084</v>
      </c>
      <c r="C7" s="900"/>
      <c r="D7" s="894"/>
      <c r="E7" s="894"/>
      <c r="F7" s="1313"/>
      <c r="G7" s="1313"/>
      <c r="H7" s="1313"/>
      <c r="I7" s="1313"/>
      <c r="J7" s="1313"/>
      <c r="K7" s="1313"/>
      <c r="L7" s="1313"/>
      <c r="M7" s="1314"/>
      <c r="N7" s="1315"/>
      <c r="O7" s="1316"/>
      <c r="P7" s="1317"/>
      <c r="Q7" s="1318"/>
      <c r="R7" s="1319"/>
      <c r="S7" s="1320"/>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0"/>
      <c r="B9" s="1333" t="s">
        <v>2085</v>
      </c>
      <c r="C9" s="900"/>
      <c r="D9" s="894"/>
      <c r="E9" s="894"/>
      <c r="F9" s="1313"/>
      <c r="G9" s="1313"/>
      <c r="H9" s="1313"/>
      <c r="I9" s="1313"/>
      <c r="J9" s="1313"/>
      <c r="K9" s="1313"/>
      <c r="L9" s="1321"/>
      <c r="M9" s="1314"/>
      <c r="N9" s="1315"/>
      <c r="O9" s="1316"/>
      <c r="P9" s="1317"/>
      <c r="Q9" s="1318"/>
      <c r="R9" s="1319"/>
      <c r="S9" s="1320"/>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2086</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2087</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0"/>
      <c r="B14" s="895"/>
      <c r="C14" s="899"/>
      <c r="D14" s="896"/>
      <c r="E14" s="896"/>
      <c r="F14" s="896"/>
      <c r="G14" s="896"/>
      <c r="H14" s="896"/>
      <c r="I14" s="896"/>
      <c r="J14" s="896"/>
      <c r="K14" s="896"/>
      <c r="L14" s="896"/>
      <c r="M14" s="1004"/>
      <c r="N14" s="1004"/>
      <c r="O14" s="896"/>
      <c r="P14" s="896"/>
      <c r="Q14" s="896"/>
      <c r="R14" s="896"/>
      <c r="S14" s="1005"/>
      <c r="T14" s="897"/>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2088</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4" t="s">
        <v>2089</v>
      </c>
      <c r="B17" s="2145" t="s">
        <v>2090</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4"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8"/>
      <c r="B19" s="158"/>
      <c r="C19" s="158"/>
      <c r="D19" s="2146" t="s">
        <v>2091</v>
      </c>
      <c r="E19" s="1336"/>
      <c r="F19" s="1336"/>
      <c r="G19" s="1336"/>
      <c r="H19" s="1055"/>
      <c r="I19" s="158"/>
      <c r="J19" s="158"/>
      <c r="K19" s="158"/>
      <c r="L19" s="158"/>
      <c r="M19" s="158"/>
      <c r="N19" s="158"/>
      <c r="O19" s="158"/>
      <c r="P19" s="158"/>
      <c r="Q19" s="158"/>
      <c r="R19" s="716"/>
      <c r="S19" s="128"/>
    </row>
    <row r="20" spans="1:45" ht="16.2" thickBot="1">
      <c r="A20" s="661" t="s">
        <v>2092</v>
      </c>
      <c r="B20" s="293" t="e">
        <f ca="1">IF(D20="——",S22,S22-F20)</f>
        <v>#REF!</v>
      </c>
      <c r="C20" s="158"/>
      <c r="D20" s="2147"/>
      <c r="E20" s="1337"/>
      <c r="F20" s="979" t="e">
        <f ca="1">SUMIF(INDIRECT("'"&amp;H20&amp;"'"&amp;"!A:A"),"承租人权益价值",INDIRECT("'"&amp;H20&amp;"'"&amp;"!c:c"))</f>
        <v>#REF!</v>
      </c>
      <c r="G20" s="979" t="s">
        <v>2093</v>
      </c>
      <c r="H20" s="2148"/>
      <c r="I20" s="158"/>
      <c r="J20" s="158"/>
      <c r="K20" s="158"/>
      <c r="L20" s="158"/>
      <c r="M20" s="158"/>
      <c r="N20" s="158"/>
      <c r="O20" s="158"/>
      <c r="P20" s="158"/>
      <c r="Q20" s="158"/>
      <c r="R20" s="716"/>
      <c r="S20" s="128"/>
    </row>
    <row r="21" spans="1:45" ht="15.6">
      <c r="A21" s="661" t="s">
        <v>2094</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2095</v>
      </c>
      <c r="B22" s="21">
        <f>SUM(B24:B10000)</f>
        <v>0</v>
      </c>
      <c r="C22" s="3895" t="s">
        <v>27</v>
      </c>
      <c r="D22" s="3896"/>
      <c r="E22" s="3896"/>
      <c r="F22" s="3896"/>
      <c r="G22" s="3896"/>
      <c r="H22" s="3896"/>
      <c r="I22" s="3896"/>
      <c r="J22" s="3896"/>
      <c r="K22" s="3896"/>
      <c r="L22" s="3896"/>
      <c r="M22" s="3896"/>
      <c r="N22" s="3896"/>
      <c r="O22" s="3896"/>
      <c r="P22" s="3896"/>
      <c r="Q22" s="3897"/>
      <c r="R22" s="662"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2101</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2077</v>
      </c>
      <c r="B1" s="2143"/>
      <c r="C1" s="2143"/>
      <c r="D1" s="2143"/>
      <c r="E1" s="2143"/>
      <c r="F1" s="2789"/>
      <c r="G1" s="2789"/>
      <c r="H1" s="2789"/>
      <c r="I1" s="2789"/>
      <c r="J1" s="2789"/>
      <c r="K1" s="2789"/>
      <c r="L1" s="2789"/>
      <c r="M1" s="2789"/>
      <c r="N1" s="2789"/>
      <c r="O1" s="2789"/>
      <c r="P1" s="2789"/>
    </row>
    <row r="2" spans="1:16" ht="15.6">
      <c r="A2" s="2141" t="s">
        <v>2069</v>
      </c>
      <c r="B2" s="2598">
        <f ca="1">SUMIF(B6:B13,"&lt;&gt;#ref!",B6:B13)</f>
        <v>58288</v>
      </c>
      <c r="C2" s="2141" t="s">
        <v>2070</v>
      </c>
      <c r="D2" s="2141" t="s">
        <v>2071</v>
      </c>
      <c r="E2" s="2608">
        <f ca="1">SUMIF(E6:E13,"&lt;&gt;#ref!",E6:E13)</f>
        <v>62645.83</v>
      </c>
      <c r="F2" s="2789"/>
      <c r="G2" s="2789"/>
      <c r="H2" s="2789"/>
      <c r="I2" s="2789"/>
      <c r="J2" s="2789"/>
      <c r="K2" s="2789"/>
      <c r="L2" s="2789"/>
      <c r="M2" s="2789"/>
      <c r="N2" s="2789"/>
      <c r="O2" s="2789"/>
      <c r="P2" s="2789"/>
    </row>
    <row r="3" spans="1:16" ht="15.6">
      <c r="A3" s="2141" t="s">
        <v>2072</v>
      </c>
      <c r="B3" s="2598">
        <f ca="1">ROUND(B2*10000/E2,0)</f>
        <v>9304</v>
      </c>
      <c r="C3" s="2141" t="s">
        <v>2078</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2073</v>
      </c>
      <c r="B5" s="2606" t="s">
        <v>2074</v>
      </c>
      <c r="C5" s="2142"/>
      <c r="D5" s="2789"/>
      <c r="E5" s="2607" t="s">
        <v>2075</v>
      </c>
      <c r="F5" s="2789"/>
      <c r="G5" s="2789"/>
      <c r="H5" s="2789"/>
      <c r="I5" s="2789"/>
      <c r="J5" s="2789"/>
      <c r="K5" s="2789"/>
      <c r="L5" s="2789"/>
      <c r="M5" s="2789"/>
      <c r="N5" s="2789"/>
      <c r="O5" s="2789"/>
      <c r="P5" s="2789"/>
    </row>
    <row r="6" spans="1:16" ht="15.6">
      <c r="A6" s="2605" t="s">
        <v>2076</v>
      </c>
      <c r="B6" s="2598">
        <f ca="1">SUMIF(INDIRECT("'"&amp;A6&amp;"'"&amp;"!A:A"),"总价",INDIRECT("'"&amp;A6&amp;"'"&amp;"!B:B"))</f>
        <v>58288</v>
      </c>
      <c r="C6" s="2141" t="s">
        <v>2070</v>
      </c>
      <c r="D6" s="2789"/>
      <c r="E6" s="2608">
        <f ca="1">SUMIF(INDIRECT("'"&amp;A6&amp;"'"&amp;"!C:C"),"建筑面积",INDIRECT("'"&amp;A6&amp;"'"&amp;"!D:D"))</f>
        <v>62645.83</v>
      </c>
      <c r="F6" s="2789"/>
      <c r="G6" s="2789"/>
      <c r="H6" s="2789"/>
      <c r="I6" s="2789"/>
      <c r="J6" s="2789"/>
      <c r="K6" s="2789"/>
      <c r="L6" s="2789"/>
      <c r="M6" s="2789"/>
      <c r="N6" s="2789"/>
      <c r="O6" s="2789"/>
      <c r="P6" s="2789"/>
    </row>
    <row r="7" spans="1:16" ht="15.6">
      <c r="A7" s="2605"/>
      <c r="B7" s="2598" t="e">
        <f ca="1">SUMIF(INDIRECT("'"&amp;A7&amp;"'"&amp;"!A:A"),"总价",INDIRECT("'"&amp;A7&amp;"'"&amp;"!B:B"))</f>
        <v>#REF!</v>
      </c>
      <c r="C7" s="2141" t="s">
        <v>2070</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6">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908" t="s">
        <v>2605</v>
      </c>
      <c r="B20" s="3901" t="s">
        <v>2626</v>
      </c>
      <c r="C20" s="3099" t="s">
        <v>2437</v>
      </c>
      <c r="D20" s="3100"/>
      <c r="E20" s="3101">
        <v>1</v>
      </c>
      <c r="F20" s="3102" t="s">
        <v>2438</v>
      </c>
      <c r="G20" s="3102"/>
    </row>
    <row r="21" spans="1:13" ht="19.5" customHeight="1">
      <c r="A21" s="3909"/>
      <c r="B21" s="3902"/>
      <c r="C21" s="3103" t="s">
        <v>2439</v>
      </c>
      <c r="D21" s="3104"/>
      <c r="E21" s="3105">
        <v>1</v>
      </c>
      <c r="F21" s="3102" t="s">
        <v>2440</v>
      </c>
      <c r="G21" s="3102"/>
    </row>
    <row r="22" spans="1:13" ht="19.5" customHeight="1">
      <c r="A22" s="3909"/>
      <c r="B22" s="3902"/>
      <c r="C22" s="3103" t="s">
        <v>2441</v>
      </c>
      <c r="D22" s="3104"/>
      <c r="E22" s="3105">
        <v>0.9</v>
      </c>
      <c r="F22" s="3102" t="s">
        <v>2442</v>
      </c>
      <c r="G22" s="3102"/>
    </row>
    <row r="23" spans="1:13" ht="19.5" customHeight="1">
      <c r="A23" s="3909"/>
      <c r="B23" s="3902"/>
      <c r="C23" s="3103" t="s">
        <v>2443</v>
      </c>
      <c r="D23" s="3104"/>
      <c r="E23" s="3105">
        <v>0.9</v>
      </c>
      <c r="F23" s="3102" t="s">
        <v>2444</v>
      </c>
      <c r="G23" s="3102"/>
    </row>
    <row r="24" spans="1:13" ht="19.5" customHeight="1">
      <c r="A24" s="3909"/>
      <c r="B24" s="3902"/>
      <c r="C24" s="3103" t="s">
        <v>2445</v>
      </c>
      <c r="D24" s="3104"/>
      <c r="E24" s="3105">
        <v>0.8</v>
      </c>
      <c r="F24" s="3102" t="s">
        <v>2446</v>
      </c>
      <c r="G24" s="3102"/>
    </row>
    <row r="25" spans="1:13" ht="19.5" customHeight="1" thickBot="1">
      <c r="A25" s="3910"/>
      <c r="B25" s="3903"/>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904" t="s">
        <v>2629</v>
      </c>
      <c r="B27" s="3901" t="s">
        <v>2610</v>
      </c>
      <c r="C27" s="3099" t="s">
        <v>2450</v>
      </c>
      <c r="D27" s="3100"/>
      <c r="E27" s="3101">
        <v>1</v>
      </c>
      <c r="F27" s="3102" t="s">
        <v>2451</v>
      </c>
      <c r="G27" s="3102"/>
    </row>
    <row r="28" spans="1:13" ht="19.5" customHeight="1">
      <c r="A28" s="3905"/>
      <c r="B28" s="3902"/>
      <c r="C28" s="3103" t="s">
        <v>2452</v>
      </c>
      <c r="D28" s="3104"/>
      <c r="E28" s="3105">
        <v>1</v>
      </c>
      <c r="F28" s="3102" t="s">
        <v>2453</v>
      </c>
      <c r="G28" s="3102"/>
    </row>
    <row r="29" spans="1:13" ht="19.5" customHeight="1">
      <c r="A29" s="3905"/>
      <c r="B29" s="3902"/>
      <c r="C29" s="3103" t="s">
        <v>2454</v>
      </c>
      <c r="D29" s="3104"/>
      <c r="E29" s="3105">
        <v>0.8</v>
      </c>
      <c r="F29" s="3102" t="s">
        <v>2455</v>
      </c>
      <c r="G29" s="3102"/>
    </row>
    <row r="30" spans="1:13" ht="19.5" customHeight="1">
      <c r="A30" s="3905"/>
      <c r="B30" s="3902"/>
      <c r="C30" s="3103" t="s">
        <v>2456</v>
      </c>
      <c r="D30" s="3104"/>
      <c r="E30" s="3105">
        <v>0.8</v>
      </c>
      <c r="F30" s="3102" t="s">
        <v>2457</v>
      </c>
      <c r="G30" s="3102"/>
    </row>
    <row r="31" spans="1:13" ht="19.5" customHeight="1">
      <c r="A31" s="3905"/>
      <c r="B31" s="3902"/>
      <c r="C31" s="3103" t="s">
        <v>2458</v>
      </c>
      <c r="D31" s="3104"/>
      <c r="E31" s="3105">
        <v>0.8</v>
      </c>
      <c r="F31" s="3102" t="s">
        <v>2459</v>
      </c>
      <c r="G31" s="3102"/>
    </row>
    <row r="32" spans="1:13" ht="19.5" customHeight="1">
      <c r="A32" s="3905"/>
      <c r="B32" s="3902"/>
      <c r="C32" s="3103" t="s">
        <v>2460</v>
      </c>
      <c r="D32" s="3104"/>
      <c r="E32" s="3105">
        <v>0.7</v>
      </c>
      <c r="F32" s="3102" t="s">
        <v>2461</v>
      </c>
      <c r="G32" s="3102"/>
    </row>
    <row r="33" spans="1:7" ht="19.5" customHeight="1">
      <c r="A33" s="3905"/>
      <c r="B33" s="3902"/>
      <c r="C33" s="3103" t="s">
        <v>2462</v>
      </c>
      <c r="D33" s="3104"/>
      <c r="E33" s="3105">
        <v>0.8</v>
      </c>
      <c r="F33" s="3102" t="s">
        <v>2463</v>
      </c>
      <c r="G33" s="3102"/>
    </row>
    <row r="34" spans="1:7" ht="19.5" customHeight="1">
      <c r="A34" s="3905"/>
      <c r="B34" s="3902"/>
      <c r="C34" s="3103" t="s">
        <v>2464</v>
      </c>
      <c r="D34" s="3104"/>
      <c r="E34" s="3105">
        <v>0.6</v>
      </c>
      <c r="F34" s="3102" t="s">
        <v>2465</v>
      </c>
      <c r="G34" s="3102"/>
    </row>
    <row r="35" spans="1:7" ht="19.5" customHeight="1">
      <c r="A35" s="3905"/>
      <c r="B35" s="3902"/>
      <c r="C35" s="3103" t="s">
        <v>2466</v>
      </c>
      <c r="D35" s="3104"/>
      <c r="E35" s="3105">
        <v>0.2</v>
      </c>
      <c r="F35" s="3102" t="s">
        <v>2467</v>
      </c>
      <c r="G35" s="3102"/>
    </row>
    <row r="36" spans="1:7" ht="19.5" customHeight="1">
      <c r="A36" s="3905"/>
      <c r="B36" s="3902"/>
      <c r="C36" s="3103" t="s">
        <v>2468</v>
      </c>
      <c r="D36" s="3104"/>
      <c r="E36" s="3105">
        <v>0.2</v>
      </c>
      <c r="F36" s="3102" t="s">
        <v>2469</v>
      </c>
      <c r="G36" s="3102"/>
    </row>
    <row r="37" spans="1:7" ht="19.5" customHeight="1">
      <c r="A37" s="3905"/>
      <c r="B37" s="3907" t="s">
        <v>2630</v>
      </c>
      <c r="C37" s="3103" t="s">
        <v>2470</v>
      </c>
      <c r="D37" s="3104"/>
      <c r="E37" s="3105">
        <v>0.6</v>
      </c>
      <c r="F37" s="3102" t="s">
        <v>2471</v>
      </c>
      <c r="G37" s="3102"/>
    </row>
    <row r="38" spans="1:7" ht="19.5" customHeight="1">
      <c r="A38" s="3905"/>
      <c r="B38" s="3902"/>
      <c r="C38" s="3103" t="s">
        <v>2472</v>
      </c>
      <c r="D38" s="3104"/>
      <c r="E38" s="3105">
        <v>0.6</v>
      </c>
      <c r="F38" s="3102" t="s">
        <v>2473</v>
      </c>
      <c r="G38" s="3102"/>
    </row>
    <row r="39" spans="1:7" ht="19.5" customHeight="1" thickBot="1">
      <c r="A39" s="3906"/>
      <c r="B39" s="3903"/>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908" t="s">
        <v>2608</v>
      </c>
      <c r="B41" s="3901" t="s">
        <v>2632</v>
      </c>
      <c r="C41" s="3099" t="s">
        <v>2477</v>
      </c>
      <c r="D41" s="3100"/>
      <c r="E41" s="3101">
        <v>1</v>
      </c>
      <c r="F41" s="3102" t="s">
        <v>2478</v>
      </c>
      <c r="G41" s="3102"/>
    </row>
    <row r="42" spans="1:7" ht="19.5" customHeight="1">
      <c r="A42" s="3909"/>
      <c r="B42" s="3902"/>
      <c r="C42" s="3103" t="s">
        <v>2479</v>
      </c>
      <c r="D42" s="3104"/>
      <c r="E42" s="3105">
        <v>1</v>
      </c>
      <c r="F42" s="3102" t="s">
        <v>2480</v>
      </c>
      <c r="G42" s="3102"/>
    </row>
    <row r="43" spans="1:7" ht="19.5" customHeight="1">
      <c r="A43" s="3909"/>
      <c r="B43" s="3911"/>
      <c r="C43" s="3103" t="s">
        <v>2481</v>
      </c>
      <c r="D43" s="3104"/>
      <c r="E43" s="3105">
        <v>1.5</v>
      </c>
      <c r="F43" s="3102" t="s">
        <v>2482</v>
      </c>
      <c r="G43" s="3102"/>
    </row>
    <row r="44" spans="1:7" ht="19.5" customHeight="1">
      <c r="A44" s="3909"/>
      <c r="B44" s="3114" t="s">
        <v>2633</v>
      </c>
      <c r="C44" s="3103" t="s">
        <v>2634</v>
      </c>
      <c r="D44" s="3104"/>
      <c r="E44" s="3105">
        <v>2</v>
      </c>
      <c r="F44" s="3102" t="s">
        <v>2483</v>
      </c>
      <c r="G44" s="3102"/>
    </row>
    <row r="45" spans="1:7" ht="19.5" customHeight="1">
      <c r="A45" s="3909"/>
      <c r="B45" s="3907" t="s">
        <v>2635</v>
      </c>
      <c r="C45" s="3103" t="s">
        <v>2484</v>
      </c>
      <c r="D45" s="3104"/>
      <c r="E45" s="3105">
        <v>1</v>
      </c>
      <c r="F45" s="3102" t="s">
        <v>2485</v>
      </c>
      <c r="G45" s="3102"/>
    </row>
    <row r="46" spans="1:7" ht="19.5" customHeight="1">
      <c r="A46" s="3909"/>
      <c r="B46" s="3902"/>
      <c r="C46" s="3103" t="s">
        <v>2486</v>
      </c>
      <c r="D46" s="3104"/>
      <c r="E46" s="3105">
        <v>1</v>
      </c>
      <c r="F46" s="3102" t="s">
        <v>2487</v>
      </c>
      <c r="G46" s="3102"/>
    </row>
    <row r="47" spans="1:7" ht="19.5" customHeight="1">
      <c r="A47" s="3909"/>
      <c r="B47" s="3902"/>
      <c r="C47" s="3103" t="s">
        <v>2488</v>
      </c>
      <c r="D47" s="3104"/>
      <c r="E47" s="3105">
        <v>1</v>
      </c>
      <c r="F47" s="3102" t="s">
        <v>2489</v>
      </c>
      <c r="G47" s="3102"/>
    </row>
    <row r="48" spans="1:7" ht="19.5" customHeight="1">
      <c r="A48" s="3909"/>
      <c r="B48" s="3902"/>
      <c r="C48" s="3103" t="s">
        <v>2490</v>
      </c>
      <c r="D48" s="3104"/>
      <c r="E48" s="3105">
        <v>1</v>
      </c>
      <c r="F48" s="3102" t="s">
        <v>2491</v>
      </c>
      <c r="G48" s="3102"/>
    </row>
    <row r="49" spans="1:7" ht="19.5" customHeight="1">
      <c r="A49" s="3909"/>
      <c r="B49" s="3902"/>
      <c r="C49" s="3103" t="s">
        <v>2492</v>
      </c>
      <c r="D49" s="3104"/>
      <c r="E49" s="3105">
        <v>1</v>
      </c>
      <c r="F49" s="3102" t="s">
        <v>2493</v>
      </c>
      <c r="G49" s="3102"/>
    </row>
    <row r="50" spans="1:7" ht="19.5" customHeight="1">
      <c r="A50" s="3909"/>
      <c r="B50" s="3902"/>
      <c r="C50" s="3103" t="s">
        <v>2494</v>
      </c>
      <c r="D50" s="3104"/>
      <c r="E50" s="3105">
        <v>1</v>
      </c>
      <c r="F50" s="3102" t="s">
        <v>2495</v>
      </c>
      <c r="G50" s="3102"/>
    </row>
    <row r="51" spans="1:7" ht="19.5" customHeight="1" thickBot="1">
      <c r="A51" s="3910"/>
      <c r="B51" s="3903"/>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4.4">
      <c r="A72" s="3114"/>
      <c r="B72" s="3114"/>
      <c r="C72" s="3114" t="s">
        <v>2648</v>
      </c>
      <c r="D72" s="3114"/>
      <c r="E72" s="3114" t="s">
        <v>2619</v>
      </c>
      <c r="F72" s="3114" t="s">
        <v>2619</v>
      </c>
    </row>
    <row r="73" spans="1:7" ht="14.4">
      <c r="A73" s="3114">
        <v>1</v>
      </c>
      <c r="B73" s="3907" t="s">
        <v>2649</v>
      </c>
      <c r="C73" s="3088" t="s">
        <v>2650</v>
      </c>
      <c r="D73" s="3088" t="s">
        <v>2651</v>
      </c>
      <c r="E73" s="3114">
        <v>0.2</v>
      </c>
      <c r="F73" s="3114">
        <v>25</v>
      </c>
    </row>
    <row r="74" spans="1:7" ht="24">
      <c r="A74" s="3114">
        <v>2</v>
      </c>
      <c r="B74" s="3902"/>
      <c r="C74" s="3088" t="s">
        <v>2652</v>
      </c>
      <c r="D74" s="3088" t="s">
        <v>2653</v>
      </c>
      <c r="E74" s="3114">
        <v>0.2</v>
      </c>
      <c r="F74" s="3114">
        <v>25</v>
      </c>
    </row>
    <row r="75" spans="1:7" ht="24">
      <c r="A75" s="3114">
        <v>3</v>
      </c>
      <c r="B75" s="3902"/>
      <c r="C75" s="3088" t="s">
        <v>2654</v>
      </c>
      <c r="D75" s="3088" t="s">
        <v>2655</v>
      </c>
      <c r="E75" s="3114">
        <v>0.2</v>
      </c>
      <c r="F75" s="3114">
        <v>25</v>
      </c>
    </row>
    <row r="76" spans="1:7" ht="14.4">
      <c r="A76" s="3114">
        <v>4</v>
      </c>
      <c r="B76" s="3902"/>
      <c r="C76" s="3088" t="s">
        <v>2656</v>
      </c>
      <c r="D76" s="3088" t="s">
        <v>2657</v>
      </c>
      <c r="E76" s="3114">
        <v>0.15</v>
      </c>
      <c r="F76" s="3114">
        <v>20</v>
      </c>
    </row>
    <row r="77" spans="1:7" ht="24">
      <c r="A77" s="3114">
        <v>5</v>
      </c>
      <c r="B77" s="3902"/>
      <c r="C77" s="3088" t="s">
        <v>2658</v>
      </c>
      <c r="D77" s="3088" t="s">
        <v>2659</v>
      </c>
      <c r="E77" s="3114">
        <v>0.15</v>
      </c>
      <c r="F77" s="3114">
        <v>20</v>
      </c>
    </row>
    <row r="78" spans="1:7" ht="24">
      <c r="A78" s="3114">
        <v>6</v>
      </c>
      <c r="B78" s="3902"/>
      <c r="C78" s="3088" t="s">
        <v>2660</v>
      </c>
      <c r="D78" s="3088" t="s">
        <v>2661</v>
      </c>
      <c r="E78" s="3114">
        <v>0.15</v>
      </c>
      <c r="F78" s="3114">
        <v>20</v>
      </c>
    </row>
    <row r="79" spans="1:7" ht="24">
      <c r="A79" s="3114">
        <v>7</v>
      </c>
      <c r="B79" s="3902"/>
      <c r="C79" s="3088" t="s">
        <v>2662</v>
      </c>
      <c r="D79" s="3088" t="s">
        <v>2663</v>
      </c>
      <c r="E79" s="3114">
        <v>0.15</v>
      </c>
      <c r="F79" s="3114">
        <v>20</v>
      </c>
    </row>
    <row r="80" spans="1:7" ht="24">
      <c r="A80" s="3114">
        <v>8</v>
      </c>
      <c r="B80" s="3902"/>
      <c r="C80" s="3088" t="s">
        <v>2664</v>
      </c>
      <c r="D80" s="3088" t="s">
        <v>2665</v>
      </c>
      <c r="E80" s="3114">
        <v>0.1</v>
      </c>
      <c r="F80" s="3114">
        <v>15</v>
      </c>
    </row>
    <row r="81" spans="1:6" ht="24">
      <c r="A81" s="3114">
        <v>9</v>
      </c>
      <c r="B81" s="3902"/>
      <c r="C81" s="3088" t="s">
        <v>2666</v>
      </c>
      <c r="D81" s="3088" t="s">
        <v>2667</v>
      </c>
      <c r="E81" s="3114">
        <v>0.1</v>
      </c>
      <c r="F81" s="3114">
        <v>15</v>
      </c>
    </row>
    <row r="82" spans="1:6" ht="24">
      <c r="A82" s="3114">
        <v>10</v>
      </c>
      <c r="B82" s="3902"/>
      <c r="C82" s="3088" t="s">
        <v>2668</v>
      </c>
      <c r="D82" s="3088" t="s">
        <v>2669</v>
      </c>
      <c r="E82" s="3114">
        <v>0.1</v>
      </c>
      <c r="F82" s="3114">
        <v>15</v>
      </c>
    </row>
    <row r="83" spans="1:6" ht="24">
      <c r="A83" s="3114">
        <v>11</v>
      </c>
      <c r="B83" s="3902"/>
      <c r="C83" s="3088" t="s">
        <v>2670</v>
      </c>
      <c r="D83" s="3088" t="s">
        <v>2671</v>
      </c>
      <c r="E83" s="3114">
        <v>0.1</v>
      </c>
      <c r="F83" s="3114">
        <v>15</v>
      </c>
    </row>
    <row r="84" spans="1:6" ht="24">
      <c r="A84" s="3114">
        <v>12</v>
      </c>
      <c r="B84" s="3902"/>
      <c r="C84" s="3088" t="s">
        <v>2672</v>
      </c>
      <c r="D84" s="3088" t="s">
        <v>2673</v>
      </c>
      <c r="E84" s="3114">
        <v>0.1</v>
      </c>
      <c r="F84" s="3114">
        <v>15</v>
      </c>
    </row>
    <row r="85" spans="1:6" ht="24">
      <c r="A85" s="3114">
        <v>13</v>
      </c>
      <c r="B85" s="3902"/>
      <c r="C85" s="3088" t="s">
        <v>2674</v>
      </c>
      <c r="D85" s="3088" t="s">
        <v>2675</v>
      </c>
      <c r="E85" s="3114">
        <v>0.1</v>
      </c>
      <c r="F85" s="3114">
        <v>15</v>
      </c>
    </row>
    <row r="86" spans="1:6" ht="24">
      <c r="A86" s="3114">
        <v>14</v>
      </c>
      <c r="B86" s="3902"/>
      <c r="C86" s="3088" t="s">
        <v>2676</v>
      </c>
      <c r="D86" s="3088" t="s">
        <v>2677</v>
      </c>
      <c r="E86" s="3114">
        <v>0.1</v>
      </c>
      <c r="F86" s="3114">
        <v>15</v>
      </c>
    </row>
    <row r="87" spans="1:6" ht="24">
      <c r="A87" s="3114">
        <v>15</v>
      </c>
      <c r="B87" s="3902"/>
      <c r="C87" s="3088" t="s">
        <v>2678</v>
      </c>
      <c r="D87" s="3088" t="s">
        <v>2679</v>
      </c>
      <c r="E87" s="3114">
        <v>0.1</v>
      </c>
      <c r="F87" s="3114">
        <v>15</v>
      </c>
    </row>
    <row r="88" spans="1:6" ht="24">
      <c r="A88" s="3114">
        <v>16</v>
      </c>
      <c r="B88" s="3902"/>
      <c r="C88" s="3088" t="s">
        <v>2680</v>
      </c>
      <c r="D88" s="3088" t="s">
        <v>2681</v>
      </c>
      <c r="E88" s="3114">
        <v>0.1</v>
      </c>
      <c r="F88" s="3114">
        <v>15</v>
      </c>
    </row>
    <row r="89" spans="1:6" ht="24">
      <c r="A89" s="3114">
        <v>17</v>
      </c>
      <c r="B89" s="3911"/>
      <c r="C89" s="3088" t="s">
        <v>2682</v>
      </c>
      <c r="D89" s="3088" t="s">
        <v>2683</v>
      </c>
      <c r="E89" s="3114">
        <v>0.1</v>
      </c>
      <c r="F89" s="3114">
        <v>15</v>
      </c>
    </row>
    <row r="90" spans="1:6" ht="14.4">
      <c r="A90" s="3114">
        <v>18</v>
      </c>
      <c r="B90" s="3907" t="s">
        <v>2684</v>
      </c>
      <c r="C90" s="3088" t="s">
        <v>2685</v>
      </c>
      <c r="D90" s="3088" t="s">
        <v>2686</v>
      </c>
      <c r="E90" s="3114">
        <v>0.2</v>
      </c>
      <c r="F90" s="3114">
        <v>25</v>
      </c>
    </row>
    <row r="91" spans="1:6" ht="24">
      <c r="A91" s="3114">
        <v>19</v>
      </c>
      <c r="B91" s="3902"/>
      <c r="C91" s="3088" t="s">
        <v>2687</v>
      </c>
      <c r="D91" s="3088" t="s">
        <v>2688</v>
      </c>
      <c r="E91" s="3114">
        <v>0.2</v>
      </c>
      <c r="F91" s="3114">
        <v>25</v>
      </c>
    </row>
    <row r="92" spans="1:6" ht="14.4">
      <c r="A92" s="3114">
        <v>20</v>
      </c>
      <c r="B92" s="3902"/>
      <c r="C92" s="3088" t="s">
        <v>2689</v>
      </c>
      <c r="D92" s="3088" t="s">
        <v>2690</v>
      </c>
      <c r="E92" s="3114">
        <v>0.15</v>
      </c>
      <c r="F92" s="3114">
        <v>20</v>
      </c>
    </row>
    <row r="93" spans="1:6" ht="24">
      <c r="A93" s="3114">
        <v>21</v>
      </c>
      <c r="B93" s="3902"/>
      <c r="C93" s="3088" t="s">
        <v>2691</v>
      </c>
      <c r="D93" s="3088" t="s">
        <v>2692</v>
      </c>
      <c r="E93" s="3114">
        <v>0.15</v>
      </c>
      <c r="F93" s="3114">
        <v>20</v>
      </c>
    </row>
    <row r="94" spans="1:6" ht="24">
      <c r="A94" s="3114">
        <v>22</v>
      </c>
      <c r="B94" s="3902"/>
      <c r="C94" s="3088" t="s">
        <v>2693</v>
      </c>
      <c r="D94" s="3088" t="s">
        <v>2694</v>
      </c>
      <c r="E94" s="3114">
        <v>0.15</v>
      </c>
      <c r="F94" s="3114">
        <v>20</v>
      </c>
    </row>
    <row r="95" spans="1:6" ht="36">
      <c r="A95" s="3114">
        <v>23</v>
      </c>
      <c r="B95" s="3902"/>
      <c r="C95" s="3088" t="s">
        <v>2695</v>
      </c>
      <c r="D95" s="3088" t="s">
        <v>2696</v>
      </c>
      <c r="E95" s="3114">
        <v>0.15</v>
      </c>
      <c r="F95" s="3114">
        <v>20</v>
      </c>
    </row>
    <row r="96" spans="1:6" ht="24">
      <c r="A96" s="3114">
        <v>24</v>
      </c>
      <c r="B96" s="3902"/>
      <c r="C96" s="3088" t="s">
        <v>2697</v>
      </c>
      <c r="D96" s="3088" t="s">
        <v>2698</v>
      </c>
      <c r="E96" s="3114">
        <v>0.1</v>
      </c>
      <c r="F96" s="3114">
        <v>15</v>
      </c>
    </row>
    <row r="97" spans="1:6" ht="24">
      <c r="A97" s="3114">
        <v>25</v>
      </c>
      <c r="B97" s="3902"/>
      <c r="C97" s="3088" t="s">
        <v>2699</v>
      </c>
      <c r="D97" s="3088" t="s">
        <v>2700</v>
      </c>
      <c r="E97" s="3114">
        <v>0.1</v>
      </c>
      <c r="F97" s="3114">
        <v>15</v>
      </c>
    </row>
    <row r="98" spans="1:6" ht="24">
      <c r="A98" s="3114">
        <v>26</v>
      </c>
      <c r="B98" s="3902"/>
      <c r="C98" s="3088" t="s">
        <v>2701</v>
      </c>
      <c r="D98" s="3088" t="s">
        <v>2702</v>
      </c>
      <c r="E98" s="3114">
        <v>0.1</v>
      </c>
      <c r="F98" s="3114">
        <v>15</v>
      </c>
    </row>
    <row r="99" spans="1:6" ht="24">
      <c r="A99" s="3114">
        <v>27</v>
      </c>
      <c r="B99" s="3902"/>
      <c r="C99" s="3088" t="s">
        <v>2703</v>
      </c>
      <c r="D99" s="3088" t="s">
        <v>2704</v>
      </c>
      <c r="E99" s="3114">
        <v>0.1</v>
      </c>
      <c r="F99" s="3114">
        <v>15</v>
      </c>
    </row>
    <row r="100" spans="1:6" ht="24">
      <c r="A100" s="3114">
        <v>28</v>
      </c>
      <c r="B100" s="3902"/>
      <c r="C100" s="3088" t="s">
        <v>2705</v>
      </c>
      <c r="D100" s="3088" t="s">
        <v>2706</v>
      </c>
      <c r="E100" s="3114">
        <v>0.1</v>
      </c>
      <c r="F100" s="3114">
        <v>15</v>
      </c>
    </row>
    <row r="101" spans="1:6" ht="24">
      <c r="A101" s="3114">
        <v>29</v>
      </c>
      <c r="B101" s="3902"/>
      <c r="C101" s="3088" t="s">
        <v>2707</v>
      </c>
      <c r="D101" s="3088" t="s">
        <v>2708</v>
      </c>
      <c r="E101" s="3114">
        <v>0.1</v>
      </c>
      <c r="F101" s="3114">
        <v>15</v>
      </c>
    </row>
    <row r="102" spans="1:6" ht="24">
      <c r="A102" s="3114">
        <v>30</v>
      </c>
      <c r="B102" s="3902"/>
      <c r="C102" s="3088" t="s">
        <v>2709</v>
      </c>
      <c r="D102" s="3088" t="s">
        <v>2710</v>
      </c>
      <c r="E102" s="3114">
        <v>0.1</v>
      </c>
      <c r="F102" s="3114">
        <v>15</v>
      </c>
    </row>
    <row r="103" spans="1:6" ht="24">
      <c r="A103" s="3114">
        <v>31</v>
      </c>
      <c r="B103" s="3902"/>
      <c r="C103" s="3088" t="s">
        <v>2711</v>
      </c>
      <c r="D103" s="3088" t="s">
        <v>2712</v>
      </c>
      <c r="E103" s="3114">
        <v>0.1</v>
      </c>
      <c r="F103" s="3114">
        <v>15</v>
      </c>
    </row>
    <row r="104" spans="1:6" ht="24">
      <c r="A104" s="3114">
        <v>32</v>
      </c>
      <c r="B104" s="3902"/>
      <c r="C104" s="3088" t="s">
        <v>2713</v>
      </c>
      <c r="D104" s="3088" t="s">
        <v>2714</v>
      </c>
      <c r="E104" s="3114">
        <v>0.1</v>
      </c>
      <c r="F104" s="3114">
        <v>15</v>
      </c>
    </row>
    <row r="105" spans="1:6" ht="24">
      <c r="A105" s="3114">
        <v>33</v>
      </c>
      <c r="B105" s="3902"/>
      <c r="C105" s="3088" t="s">
        <v>2715</v>
      </c>
      <c r="D105" s="3088" t="s">
        <v>2716</v>
      </c>
      <c r="E105" s="3114">
        <v>0.1</v>
      </c>
      <c r="F105" s="3114">
        <v>15</v>
      </c>
    </row>
    <row r="106" spans="1:6" ht="24">
      <c r="A106" s="3114">
        <v>34</v>
      </c>
      <c r="B106" s="3911"/>
      <c r="C106" s="3088" t="s">
        <v>2717</v>
      </c>
      <c r="D106" s="3088" t="s">
        <v>2718</v>
      </c>
      <c r="E106" s="3114">
        <v>0.1</v>
      </c>
      <c r="F106" s="3114">
        <v>15</v>
      </c>
    </row>
    <row r="107" spans="1:6" ht="36">
      <c r="A107" s="3114">
        <v>35</v>
      </c>
      <c r="B107" s="3907" t="s">
        <v>2719</v>
      </c>
      <c r="C107" s="3114" t="s">
        <v>2720</v>
      </c>
      <c r="D107" s="3088" t="s">
        <v>2721</v>
      </c>
      <c r="E107" s="3114">
        <v>0.15</v>
      </c>
      <c r="F107" s="3114">
        <v>20</v>
      </c>
    </row>
    <row r="108" spans="1:6" ht="24">
      <c r="A108" s="3114">
        <v>36</v>
      </c>
      <c r="B108" s="3902"/>
      <c r="C108" s="3114" t="s">
        <v>2722</v>
      </c>
      <c r="D108" s="3088" t="s">
        <v>2723</v>
      </c>
      <c r="E108" s="3114">
        <v>0.15</v>
      </c>
      <c r="F108" s="3114">
        <v>20</v>
      </c>
    </row>
    <row r="109" spans="1:6" ht="24">
      <c r="A109" s="3114">
        <v>37</v>
      </c>
      <c r="B109" s="3902"/>
      <c r="C109" s="3114" t="s">
        <v>2724</v>
      </c>
      <c r="D109" s="3088" t="s">
        <v>2725</v>
      </c>
      <c r="E109" s="3114">
        <v>0.15</v>
      </c>
      <c r="F109" s="3114">
        <v>20</v>
      </c>
    </row>
    <row r="110" spans="1:6" ht="24">
      <c r="A110" s="3114">
        <v>38</v>
      </c>
      <c r="B110" s="3902"/>
      <c r="C110" s="3114" t="s">
        <v>2726</v>
      </c>
      <c r="D110" s="3088" t="s">
        <v>2727</v>
      </c>
      <c r="E110" s="3114">
        <v>0.1</v>
      </c>
      <c r="F110" s="3114">
        <v>15</v>
      </c>
    </row>
    <row r="111" spans="1:6" ht="24">
      <c r="A111" s="3114">
        <v>39</v>
      </c>
      <c r="B111" s="3902"/>
      <c r="C111" s="3114" t="s">
        <v>2728</v>
      </c>
      <c r="D111" s="3088" t="s">
        <v>2729</v>
      </c>
      <c r="E111" s="3114">
        <v>0.1</v>
      </c>
      <c r="F111" s="3114">
        <v>15</v>
      </c>
    </row>
    <row r="112" spans="1:6" ht="24">
      <c r="A112" s="3114">
        <v>40</v>
      </c>
      <c r="B112" s="3911"/>
      <c r="C112" s="3114" t="s">
        <v>2730</v>
      </c>
      <c r="D112" s="3088" t="s">
        <v>2731</v>
      </c>
      <c r="E112" s="3114">
        <v>0.1</v>
      </c>
      <c r="F112" s="3114">
        <v>15</v>
      </c>
    </row>
    <row r="113" spans="1:6" ht="24">
      <c r="A113" s="3114">
        <v>41</v>
      </c>
      <c r="B113" s="3912" t="s">
        <v>2732</v>
      </c>
      <c r="C113" s="3114" t="s">
        <v>2733</v>
      </c>
      <c r="D113" s="3088" t="s">
        <v>2734</v>
      </c>
      <c r="E113" s="3114">
        <v>0.1</v>
      </c>
      <c r="F113" s="3114">
        <v>15</v>
      </c>
    </row>
    <row r="114" spans="1:6" ht="24">
      <c r="A114" s="3114">
        <v>42</v>
      </c>
      <c r="B114" s="3912"/>
      <c r="C114" s="3114" t="s">
        <v>2735</v>
      </c>
      <c r="D114" s="3088" t="s">
        <v>2736</v>
      </c>
      <c r="E114" s="3114">
        <v>0.1</v>
      </c>
      <c r="F114" s="3114">
        <v>15</v>
      </c>
    </row>
    <row r="115" spans="1:6" ht="24">
      <c r="A115" s="3114">
        <v>43</v>
      </c>
      <c r="B115" s="3912"/>
      <c r="C115" s="3114" t="s">
        <v>2737</v>
      </c>
      <c r="D115" s="3088" t="s">
        <v>2738</v>
      </c>
      <c r="E115" s="3114">
        <v>0.1</v>
      </c>
      <c r="F115" s="3114">
        <v>15</v>
      </c>
    </row>
    <row r="116" spans="1:6" ht="24">
      <c r="A116" s="3114">
        <v>44</v>
      </c>
      <c r="B116" s="3907" t="s">
        <v>2739</v>
      </c>
      <c r="C116" s="3114" t="s">
        <v>2740</v>
      </c>
      <c r="D116" s="3088" t="s">
        <v>2741</v>
      </c>
      <c r="E116" s="3114">
        <v>0.1</v>
      </c>
      <c r="F116" s="3114">
        <v>15</v>
      </c>
    </row>
    <row r="117" spans="1:6" ht="24">
      <c r="A117" s="3114">
        <v>45</v>
      </c>
      <c r="B117" s="3911"/>
      <c r="C117" s="3088" t="s">
        <v>2742</v>
      </c>
      <c r="D117" s="3088" t="s">
        <v>2743</v>
      </c>
      <c r="E117" s="3114">
        <v>0.1</v>
      </c>
      <c r="F117" s="3114">
        <v>15</v>
      </c>
    </row>
    <row r="118" spans="1:6" ht="24">
      <c r="A118" s="3114">
        <v>46</v>
      </c>
      <c r="B118" s="3907" t="s">
        <v>2744</v>
      </c>
      <c r="C118" s="3114" t="s">
        <v>2745</v>
      </c>
      <c r="D118" s="3088" t="s">
        <v>2746</v>
      </c>
      <c r="E118" s="3114">
        <v>0.1</v>
      </c>
      <c r="F118" s="3114">
        <v>15</v>
      </c>
    </row>
    <row r="119" spans="1:6" ht="24">
      <c r="A119" s="3114">
        <v>47</v>
      </c>
      <c r="B119" s="3911"/>
      <c r="C119" s="3114" t="s">
        <v>2747</v>
      </c>
      <c r="D119" s="3088" t="s">
        <v>2748</v>
      </c>
      <c r="E119" s="3114">
        <v>0.1</v>
      </c>
      <c r="F119" s="3114">
        <v>15</v>
      </c>
    </row>
    <row r="120" spans="1:6" ht="24">
      <c r="A120" s="3114">
        <v>48</v>
      </c>
      <c r="B120" s="3907" t="s">
        <v>2749</v>
      </c>
      <c r="C120" s="3114" t="s">
        <v>2750</v>
      </c>
      <c r="D120" s="3088" t="s">
        <v>2751</v>
      </c>
      <c r="E120" s="3114">
        <v>0.1</v>
      </c>
      <c r="F120" s="3114">
        <v>15</v>
      </c>
    </row>
    <row r="121" spans="1:6" ht="24">
      <c r="A121" s="3114">
        <v>49</v>
      </c>
      <c r="B121" s="3911"/>
      <c r="C121" s="3114" t="s">
        <v>2752</v>
      </c>
      <c r="D121" s="3088" t="s">
        <v>2753</v>
      </c>
      <c r="E121" s="3114">
        <v>0.1</v>
      </c>
      <c r="F121" s="3114">
        <v>15</v>
      </c>
    </row>
    <row r="122" spans="1:6" ht="24">
      <c r="A122" s="3114">
        <v>50</v>
      </c>
      <c r="B122" s="3912" t="s">
        <v>2754</v>
      </c>
      <c r="C122" s="3114" t="s">
        <v>2755</v>
      </c>
      <c r="D122" s="3088" t="s">
        <v>2756</v>
      </c>
      <c r="E122" s="3114">
        <v>0.1</v>
      </c>
      <c r="F122" s="3114">
        <v>15</v>
      </c>
    </row>
    <row r="123" spans="1:6" ht="24">
      <c r="A123" s="3114">
        <v>51</v>
      </c>
      <c r="B123" s="3912"/>
      <c r="C123" s="3114" t="s">
        <v>2757</v>
      </c>
      <c r="D123" s="3088" t="s">
        <v>2758</v>
      </c>
      <c r="E123" s="3114">
        <v>0.1</v>
      </c>
      <c r="F123" s="3114">
        <v>15</v>
      </c>
    </row>
    <row r="124" spans="1:6" ht="24">
      <c r="A124" s="3114">
        <v>52</v>
      </c>
      <c r="B124" s="3912" t="s">
        <v>2759</v>
      </c>
      <c r="C124" s="3114" t="s">
        <v>2760</v>
      </c>
      <c r="D124" s="3088" t="s">
        <v>2761</v>
      </c>
      <c r="E124" s="3114">
        <v>0.1</v>
      </c>
      <c r="F124" s="3114">
        <v>15</v>
      </c>
    </row>
    <row r="125" spans="1:6" ht="24">
      <c r="A125" s="3114">
        <v>53</v>
      </c>
      <c r="B125" s="3912"/>
      <c r="C125" s="3114" t="s">
        <v>2762</v>
      </c>
      <c r="D125" s="3088" t="s">
        <v>2763</v>
      </c>
      <c r="E125" s="3114">
        <v>0.1</v>
      </c>
      <c r="F125" s="3114">
        <v>15</v>
      </c>
    </row>
    <row r="126" spans="1:6" ht="24">
      <c r="A126" s="3114">
        <v>54</v>
      </c>
      <c r="B126" s="3114" t="s">
        <v>2764</v>
      </c>
      <c r="C126" s="3114" t="s">
        <v>2765</v>
      </c>
      <c r="D126" s="3088" t="s">
        <v>2766</v>
      </c>
      <c r="E126" s="3114">
        <v>0.1</v>
      </c>
      <c r="F126" s="3114">
        <v>15</v>
      </c>
    </row>
    <row r="127" spans="1:6" ht="24">
      <c r="A127" s="3114">
        <v>55</v>
      </c>
      <c r="B127" s="3912" t="s">
        <v>2767</v>
      </c>
      <c r="C127" s="3114" t="s">
        <v>2768</v>
      </c>
      <c r="D127" s="3088" t="s">
        <v>2769</v>
      </c>
      <c r="E127" s="3114">
        <v>0.1</v>
      </c>
      <c r="F127" s="3114">
        <v>15</v>
      </c>
    </row>
    <row r="128" spans="1:6" ht="24">
      <c r="A128" s="3114">
        <v>56</v>
      </c>
      <c r="B128" s="3912"/>
      <c r="C128" s="3114" t="s">
        <v>2770</v>
      </c>
      <c r="D128" s="3088" t="s">
        <v>2771</v>
      </c>
      <c r="E128" s="3114">
        <v>0.1</v>
      </c>
      <c r="F128" s="3114">
        <v>15</v>
      </c>
    </row>
    <row r="129" spans="1:6" ht="24">
      <c r="A129" s="3114">
        <v>57</v>
      </c>
      <c r="B129" s="3912"/>
      <c r="C129" s="3114" t="s">
        <v>2772</v>
      </c>
      <c r="D129" s="3088" t="s">
        <v>2773</v>
      </c>
      <c r="E129" s="3114">
        <v>0.1</v>
      </c>
      <c r="F129" s="3114">
        <v>15</v>
      </c>
    </row>
    <row r="130" spans="1:6" ht="24">
      <c r="A130" s="3114">
        <v>58</v>
      </c>
      <c r="B130" s="3912" t="s">
        <v>2774</v>
      </c>
      <c r="C130" s="3114" t="s">
        <v>2775</v>
      </c>
      <c r="D130" s="3088" t="s">
        <v>2776</v>
      </c>
      <c r="E130" s="3114">
        <v>0.1</v>
      </c>
      <c r="F130" s="3114">
        <v>15</v>
      </c>
    </row>
    <row r="131" spans="1:6" ht="24">
      <c r="A131" s="3114">
        <v>59</v>
      </c>
      <c r="B131" s="3912"/>
      <c r="C131" s="3114" t="s">
        <v>2777</v>
      </c>
      <c r="D131" s="3088" t="s">
        <v>2778</v>
      </c>
      <c r="E131" s="3114">
        <v>0.1</v>
      </c>
      <c r="F131" s="3114">
        <v>15</v>
      </c>
    </row>
    <row r="132" spans="1:6" ht="24">
      <c r="A132" s="3114">
        <v>60</v>
      </c>
      <c r="B132" s="3907" t="s">
        <v>2779</v>
      </c>
      <c r="C132" s="3114" t="s">
        <v>2780</v>
      </c>
      <c r="D132" s="3088" t="s">
        <v>2781</v>
      </c>
      <c r="E132" s="3114">
        <v>0.1</v>
      </c>
      <c r="F132" s="3114">
        <v>15</v>
      </c>
    </row>
    <row r="133" spans="1:6" ht="24">
      <c r="A133" s="3114">
        <v>61</v>
      </c>
      <c r="B133" s="3911"/>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24">
      <c r="A135" s="3114">
        <v>63</v>
      </c>
      <c r="B135" s="3912" t="s">
        <v>2787</v>
      </c>
      <c r="C135" s="3114" t="s">
        <v>2788</v>
      </c>
      <c r="D135" s="3088" t="s">
        <v>2789</v>
      </c>
      <c r="E135" s="3114">
        <v>0.1</v>
      </c>
      <c r="F135" s="3114">
        <v>15</v>
      </c>
    </row>
    <row r="136" spans="1:6" ht="24">
      <c r="A136" s="3114">
        <v>64</v>
      </c>
      <c r="B136" s="3912"/>
      <c r="C136" s="3114" t="s">
        <v>2790</v>
      </c>
      <c r="D136" s="3088" t="s">
        <v>2791</v>
      </c>
      <c r="E136" s="3114">
        <v>0.1</v>
      </c>
      <c r="F136" s="3114">
        <v>15</v>
      </c>
    </row>
    <row r="137" spans="1:6" ht="24">
      <c r="A137" s="3114">
        <v>65</v>
      </c>
      <c r="B137" s="3114" t="s">
        <v>2792</v>
      </c>
      <c r="C137" s="3114" t="s">
        <v>2793</v>
      </c>
      <c r="D137" s="3088" t="s">
        <v>2794</v>
      </c>
      <c r="E137" s="3114">
        <v>0.1</v>
      </c>
      <c r="F137" s="3114">
        <v>15</v>
      </c>
    </row>
    <row r="138" spans="1:6" ht="14.4">
      <c r="A138" s="3114"/>
      <c r="B138" s="3114"/>
      <c r="C138" s="3114"/>
      <c r="D138" s="3114"/>
      <c r="E138" s="3114" t="s">
        <v>2795</v>
      </c>
      <c r="F138" s="3114"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7"/>
    <col min="14" max="16384" width="9" style="746"/>
  </cols>
  <sheetData>
    <row r="1" spans="1:20" ht="16.2" thickBot="1">
      <c r="A1" s="3123" t="s">
        <v>2796</v>
      </c>
      <c r="B1" s="3123"/>
      <c r="C1" s="3123"/>
      <c r="D1" s="3123"/>
      <c r="E1" s="3123"/>
      <c r="F1" s="3123"/>
      <c r="G1" s="3123"/>
      <c r="H1" s="3123"/>
      <c r="I1" s="3123"/>
      <c r="J1" s="3123"/>
      <c r="K1" s="3123"/>
      <c r="L1" s="3123"/>
      <c r="M1" s="3123"/>
      <c r="N1" s="745"/>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46">
        <f>SUMPRODUCT((A95:A184=ROUNDDOWN(基准地价修正!G3,1))*(B94:M94=基准地价修正!G2)*(B95:M184))</f>
        <v>0.89239999999999997</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46">
        <f>SUMPRODUCT((A371:A460=ROUNDDOWN(基准地价修正!G3,1))*(B370:M370=基准地价修正!G2)*(B371:M460))</f>
        <v>0.84889999999999999</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103634</v>
      </c>
      <c r="C2" s="2" t="s">
        <v>106</v>
      </c>
      <c r="D2" s="198"/>
      <c r="E2" s="198"/>
      <c r="F2" s="198"/>
      <c r="G2" s="198"/>
    </row>
    <row r="3" spans="1:7" s="199" customFormat="1" ht="18" customHeight="1" thickBot="1">
      <c r="A3" s="202" t="s">
        <v>58</v>
      </c>
      <c r="B3" s="203">
        <f ca="1">ROUND(B2*10000/'数据-汇总表'!E3,0)</f>
        <v>10444</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160</v>
      </c>
      <c r="F9" s="220"/>
      <c r="G9" s="225"/>
    </row>
    <row r="10" spans="1:7" s="213" customFormat="1" ht="13.5" customHeight="1">
      <c r="A10" s="775" t="s">
        <v>356</v>
      </c>
      <c r="B10" s="223" t="s">
        <v>67</v>
      </c>
      <c r="C10" s="224">
        <f>ROUND(D10*E10/10000,0)</f>
        <v>1985</v>
      </c>
      <c r="D10" s="841">
        <f>'数据-汇总表'!E6</f>
        <v>99232.329999999987</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1985</v>
      </c>
      <c r="D19" s="845">
        <f>'数据-汇总表'!E3</f>
        <v>99232.329999999987</v>
      </c>
      <c r="E19" s="210">
        <f>'数据-取费表'!B31</f>
        <v>200</v>
      </c>
      <c r="F19" s="230"/>
      <c r="G19" s="1" t="s">
        <v>436</v>
      </c>
    </row>
    <row r="20" spans="1:7" s="213" customFormat="1" ht="13.5" customHeight="1">
      <c r="A20" s="773" t="s">
        <v>419</v>
      </c>
      <c r="B20" s="209" t="s">
        <v>77</v>
      </c>
      <c r="C20" s="231">
        <f>ROUND((C5+C19)*F20,0)</f>
        <v>678</v>
      </c>
      <c r="D20" s="231"/>
      <c r="E20" s="231"/>
      <c r="F20" s="232">
        <f>'数据-取费表'!B37</f>
        <v>0.03</v>
      </c>
      <c r="G20" s="1063" t="s">
        <v>430</v>
      </c>
    </row>
    <row r="21" spans="1:7" s="213" customFormat="1" ht="13.5" customHeight="1">
      <c r="A21" s="773" t="s">
        <v>421</v>
      </c>
      <c r="B21" s="209" t="s">
        <v>78</v>
      </c>
      <c r="C21" s="234">
        <f>F21</f>
        <v>0.03</v>
      </c>
      <c r="D21" s="235" t="s">
        <v>99</v>
      </c>
      <c r="E21" s="231"/>
      <c r="F21" s="232">
        <f>'数据-取费表'!B38</f>
        <v>0.03</v>
      </c>
      <c r="G21" s="233" t="s">
        <v>79</v>
      </c>
    </row>
    <row r="22" spans="1:7" s="213" customFormat="1" ht="13.5" customHeight="1">
      <c r="A22" s="773" t="s">
        <v>341</v>
      </c>
      <c r="B22" s="209" t="s">
        <v>80</v>
      </c>
      <c r="C22" s="1100">
        <f ca="1">ROUND(SUM(C23:C25),0)</f>
        <v>2975</v>
      </c>
      <c r="D22" s="234">
        <f ca="1">C26</f>
        <v>1.9E-3</v>
      </c>
      <c r="E22" s="235" t="s">
        <v>99</v>
      </c>
      <c r="F22" s="236">
        <f ca="1">'数据-取费表'!B40</f>
        <v>4.1499999999999995E-2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2674</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258</v>
      </c>
      <c r="D24" s="237"/>
      <c r="E24" s="237"/>
      <c r="F24" s="238"/>
      <c r="G24" s="239" t="s">
        <v>82</v>
      </c>
    </row>
    <row r="25" spans="1:7" s="213" customFormat="1" ht="24">
      <c r="A25" s="776" t="s">
        <v>348</v>
      </c>
      <c r="B25" s="214" t="s">
        <v>420</v>
      </c>
      <c r="C25" s="1101">
        <f ca="1">ROUND(IF('数据-取费表'!B22&lt;=1,C20*F22*'数据-取费表'!B23/2,C20*(POWER((1+F22),'数据-取费表'!B23/2)-1)),0)</f>
        <v>43</v>
      </c>
      <c r="D25" s="237"/>
      <c r="E25" s="240"/>
      <c r="F25" s="238"/>
      <c r="G25" s="241" t="s">
        <v>83</v>
      </c>
    </row>
    <row r="26" spans="1:7" s="213" customFormat="1">
      <c r="A26" s="776" t="s">
        <v>350</v>
      </c>
      <c r="B26" s="214" t="s">
        <v>422</v>
      </c>
      <c r="C26" s="237">
        <f ca="1">ROUND(IF('数据-取费表'!B22&lt;=1,F21*F22*'数据-取费表'!B23/2,F21*(POWER((1+F22),'数据-取费表'!B23/2)-1)),4)</f>
        <v>1.9E-3</v>
      </c>
      <c r="D26" s="237"/>
      <c r="E26" s="240"/>
      <c r="F26" s="238"/>
      <c r="G26" s="242"/>
    </row>
    <row r="27" spans="1:7" s="213" customFormat="1" ht="26.4">
      <c r="A27" s="773" t="s">
        <v>342</v>
      </c>
      <c r="B27" s="243" t="s">
        <v>85</v>
      </c>
      <c r="C27" s="244">
        <f>C28</f>
        <v>3956</v>
      </c>
      <c r="D27" s="234">
        <f>C29</f>
        <v>5.1000000000000004E-3</v>
      </c>
      <c r="E27" s="235" t="s">
        <v>99</v>
      </c>
      <c r="F27" s="245">
        <f>'数据-取费表'!Q16</f>
        <v>0.17</v>
      </c>
      <c r="G27" s="246" t="s">
        <v>431</v>
      </c>
    </row>
    <row r="28" spans="1:7" s="213" customFormat="1" ht="13.5" customHeight="1">
      <c r="A28" s="776" t="s">
        <v>349</v>
      </c>
      <c r="B28" s="247" t="s">
        <v>424</v>
      </c>
      <c r="C28" s="248">
        <f>ROUND((C5+C19+C20)*F27*'数据-取费表'!B21/'数据-取费表'!B20,0)</f>
        <v>3956</v>
      </c>
      <c r="D28" s="234"/>
      <c r="E28" s="235"/>
      <c r="F28" s="245"/>
      <c r="G28" s="246"/>
    </row>
    <row r="29" spans="1:7" s="213" customFormat="1" ht="13.5" customHeight="1">
      <c r="A29" s="776" t="s">
        <v>347</v>
      </c>
      <c r="B29" s="247" t="s">
        <v>425</v>
      </c>
      <c r="C29" s="237">
        <f>ROUND(C21*F27*'数据-取费表'!B21/'数据-取费表'!B20,4)</f>
        <v>5.1000000000000004E-3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33203</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54250</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49075</v>
      </c>
      <c r="D34" s="216"/>
      <c r="E34" s="219"/>
      <c r="F34" s="256">
        <f>IF('数据-取费表'!B24=0,1,'数据-取费表'!N16)</f>
        <v>1</v>
      </c>
      <c r="G34" s="218" t="s">
        <v>89</v>
      </c>
    </row>
    <row r="35" spans="1:7" ht="13.5" customHeight="1">
      <c r="A35" s="776" t="s">
        <v>351</v>
      </c>
      <c r="B35" s="214" t="s">
        <v>33</v>
      </c>
      <c r="C35" s="219">
        <f>ROUND(C34*F35,0)</f>
        <v>2454</v>
      </c>
      <c r="D35" s="219"/>
      <c r="E35" s="219"/>
      <c r="F35" s="258">
        <f>'数据-取费表'!B33</f>
        <v>0.05</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1985</v>
      </c>
      <c r="D37" s="216">
        <f>'数据-汇总表'!E3</f>
        <v>99232.329999999987</v>
      </c>
      <c r="E37" s="248">
        <f>'数据-取费表'!B35</f>
        <v>200</v>
      </c>
      <c r="F37" s="258"/>
      <c r="G37" s="260" t="s">
        <v>92</v>
      </c>
    </row>
    <row r="38" spans="1:7" ht="13.5" customHeight="1">
      <c r="A38" s="776" t="s">
        <v>354</v>
      </c>
      <c r="B38" s="214" t="s">
        <v>36</v>
      </c>
      <c r="C38" s="219">
        <f>ROUND(C34*F38,0)</f>
        <v>736</v>
      </c>
      <c r="D38" s="219"/>
      <c r="E38" s="219"/>
      <c r="F38" s="258">
        <f>'数据-取费表'!B36</f>
        <v>1.4999999999999999E-2</v>
      </c>
      <c r="G38" s="218" t="s">
        <v>90</v>
      </c>
    </row>
    <row r="39" spans="1:7" s="213" customFormat="1" ht="13.5" customHeight="1">
      <c r="A39" s="773" t="s">
        <v>338</v>
      </c>
      <c r="B39" s="209" t="s">
        <v>77</v>
      </c>
      <c r="C39" s="231">
        <f>ROUND(C33*F20,0)</f>
        <v>1628</v>
      </c>
      <c r="D39" s="231"/>
      <c r="E39" s="231"/>
      <c r="F39" s="232"/>
      <c r="G39" s="1063" t="s">
        <v>433</v>
      </c>
    </row>
    <row r="40" spans="1:7" s="213" customFormat="1" ht="13.5" customHeight="1">
      <c r="A40" s="773" t="s">
        <v>339</v>
      </c>
      <c r="B40" s="209" t="s">
        <v>78</v>
      </c>
      <c r="C40" s="261">
        <f>F21</f>
        <v>0.03</v>
      </c>
      <c r="D40" s="235" t="s">
        <v>102</v>
      </c>
      <c r="E40" s="231"/>
      <c r="F40" s="232"/>
      <c r="G40" s="233" t="s">
        <v>93</v>
      </c>
    </row>
    <row r="41" spans="1:7" s="213" customFormat="1" ht="13.5" customHeight="1">
      <c r="A41" s="773" t="s">
        <v>340</v>
      </c>
      <c r="B41" s="209" t="s">
        <v>80</v>
      </c>
      <c r="C41" s="231">
        <f ca="1">ROUND(SUM(C42:C43),0)</f>
        <v>3514</v>
      </c>
      <c r="D41" s="234">
        <f ca="1">C44</f>
        <v>1.9E-3</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3412</v>
      </c>
      <c r="D42" s="237"/>
      <c r="E42" s="237"/>
      <c r="F42" s="238"/>
      <c r="G42" s="3796" t="s">
        <v>94</v>
      </c>
    </row>
    <row r="43" spans="1:7" ht="13.5" customHeight="1">
      <c r="A43" s="776" t="s">
        <v>347</v>
      </c>
      <c r="B43" s="214" t="s">
        <v>426</v>
      </c>
      <c r="C43" s="237">
        <f ca="1">ROUND(IF('数据-取费表'!B22&lt;=1,C39*F22*'数据-取费表'!B21/2,C39*(POWER((1+F22),'数据-取费表'!B21/2)-1)),0)</f>
        <v>102</v>
      </c>
      <c r="D43" s="237"/>
      <c r="E43" s="237"/>
      <c r="F43" s="238"/>
      <c r="G43" s="3797"/>
    </row>
    <row r="44" spans="1:7" ht="13.5" customHeight="1">
      <c r="A44" s="776" t="s">
        <v>348</v>
      </c>
      <c r="B44" s="214" t="s">
        <v>428</v>
      </c>
      <c r="C44" s="237">
        <f ca="1">ROUND(IF('数据-取费表'!B22&lt;=1,C40*F22*'数据-取费表'!B21/2,C40*(POWER((1+F22),'数据-取费表'!B21/2)-1)),4)</f>
        <v>1.9E-3</v>
      </c>
      <c r="D44" s="237"/>
      <c r="E44" s="237"/>
      <c r="F44" s="238"/>
      <c r="G44" s="3798"/>
    </row>
    <row r="45" spans="1:7" s="213" customFormat="1" ht="13.5" customHeight="1">
      <c r="A45" s="773" t="s">
        <v>341</v>
      </c>
      <c r="B45" s="243" t="s">
        <v>85</v>
      </c>
      <c r="C45" s="244">
        <f>C46</f>
        <v>9499</v>
      </c>
      <c r="D45" s="234">
        <f>C47</f>
        <v>5.1000000000000004E-3</v>
      </c>
      <c r="E45" s="235" t="s">
        <v>102</v>
      </c>
      <c r="F45" s="245"/>
      <c r="G45" s="246" t="s">
        <v>434</v>
      </c>
    </row>
    <row r="46" spans="1:7" s="213" customFormat="1" ht="13.5" customHeight="1">
      <c r="A46" s="776" t="s">
        <v>349</v>
      </c>
      <c r="B46" s="247" t="s">
        <v>427</v>
      </c>
      <c r="C46" s="248">
        <f>ROUND((C33+C39)*F27,0)</f>
        <v>9499</v>
      </c>
      <c r="D46" s="262"/>
      <c r="E46" s="235"/>
      <c r="F46" s="245"/>
      <c r="G46" s="246"/>
    </row>
    <row r="47" spans="1:7" s="213" customFormat="1" ht="13.5" customHeight="1">
      <c r="A47" s="776" t="s">
        <v>347</v>
      </c>
      <c r="B47" s="247" t="s">
        <v>429</v>
      </c>
      <c r="C47" s="237">
        <f>ROUND(C40*F27,4)</f>
        <v>5.1000000000000004E-3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75732</v>
      </c>
      <c r="D49" s="231"/>
      <c r="E49" s="231"/>
      <c r="F49" s="263"/>
      <c r="G49" s="233" t="s">
        <v>435</v>
      </c>
    </row>
    <row r="50" spans="1:7" s="257" customFormat="1" ht="24">
      <c r="A50" s="773" t="s">
        <v>344</v>
      </c>
      <c r="B50" s="209" t="s">
        <v>97</v>
      </c>
      <c r="C50" s="231"/>
      <c r="D50" s="231"/>
      <c r="E50" s="231"/>
      <c r="F50" s="263">
        <f>IF('数据-取费表'!B24=0,'数据-取费表'!N16,1)</f>
        <v>0.93</v>
      </c>
      <c r="G50" s="246" t="s">
        <v>98</v>
      </c>
    </row>
    <row r="51" spans="1:7" ht="16.5" customHeight="1">
      <c r="A51" s="773" t="s">
        <v>345</v>
      </c>
      <c r="B51" s="209" t="s">
        <v>105</v>
      </c>
      <c r="C51" s="231">
        <f ca="1">ROUND(C49*F50,0)</f>
        <v>70431</v>
      </c>
      <c r="D51" s="231"/>
      <c r="E51" s="231"/>
      <c r="F51" s="263"/>
      <c r="G51" s="233" t="s">
        <v>37</v>
      </c>
    </row>
    <row r="52" spans="1:7" s="207" customFormat="1" ht="16.8" thickBot="1">
      <c r="A52" s="264" t="s">
        <v>38</v>
      </c>
      <c r="B52" s="265"/>
      <c r="C52" s="266">
        <f ca="1">C31+C51</f>
        <v>103634</v>
      </c>
      <c r="D52" s="265"/>
      <c r="E52" s="265"/>
      <c r="F52" s="265"/>
      <c r="G52" s="267"/>
    </row>
    <row r="55" spans="1:7" ht="15">
      <c r="B55" s="269" t="s">
        <v>39</v>
      </c>
      <c r="C55" s="270"/>
    </row>
    <row r="56" spans="1:7">
      <c r="B56" s="272" t="s">
        <v>40</v>
      </c>
      <c r="C56" s="273">
        <f ca="1">ROUND(C51/C52,3)</f>
        <v>0.68</v>
      </c>
    </row>
    <row r="57" spans="1:7">
      <c r="B57" s="272" t="s">
        <v>41</v>
      </c>
      <c r="C57" s="274">
        <f ca="1">1-C56</f>
        <v>0.31999999999999995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605" t="str">
        <f>IF(项目基本情况!B9="房地产市场价值","估价结果一览表","结果表-2")</f>
        <v>结果表-2</v>
      </c>
      <c r="B1" s="3605"/>
      <c r="C1" s="3605"/>
      <c r="D1" s="3605"/>
      <c r="E1" s="3605"/>
      <c r="F1" s="3605"/>
      <c r="G1" s="3605"/>
      <c r="H1" s="3605"/>
      <c r="I1" s="3605"/>
    </row>
    <row r="2" spans="1:9" ht="30" customHeight="1" thickTop="1">
      <c r="A2" s="3606" t="s">
        <v>924</v>
      </c>
      <c r="B2" s="3606" t="s">
        <v>925</v>
      </c>
      <c r="C2" s="3606" t="s">
        <v>926</v>
      </c>
      <c r="D2" s="3606" t="str">
        <f>结果表!D116</f>
        <v>出让国有建设用地使用权价值</v>
      </c>
      <c r="E2" s="3606"/>
      <c r="F2" s="3606" t="str">
        <f>结果表!F116</f>
        <v>在建建筑物价值</v>
      </c>
      <c r="G2" s="3606"/>
      <c r="H2" s="3606" t="str">
        <f>IF(项目基本情况!B9="房地产市场价值","房地产市场价值","房地产价值")</f>
        <v>房地产价值</v>
      </c>
      <c r="I2" s="3606"/>
    </row>
    <row r="3" spans="1:9" ht="15.6">
      <c r="A3" s="3607"/>
      <c r="B3" s="3607"/>
      <c r="C3" s="3607"/>
      <c r="D3" s="850" t="s">
        <v>921</v>
      </c>
      <c r="E3" s="850" t="s">
        <v>927</v>
      </c>
      <c r="F3" s="850" t="s">
        <v>921</v>
      </c>
      <c r="G3" s="850" t="s">
        <v>922</v>
      </c>
      <c r="H3" s="850" t="s">
        <v>921</v>
      </c>
      <c r="I3" s="850" t="s">
        <v>922</v>
      </c>
    </row>
    <row r="4" spans="1:9" ht="15">
      <c r="A4" s="1501" t="str">
        <f>项目基本情况!S2</f>
        <v>北京市房地产</v>
      </c>
      <c r="B4" s="850">
        <f>项目基本情况!C17</f>
        <v>99232.329999999987</v>
      </c>
      <c r="C4" s="850">
        <f>项目基本情况!C18</f>
        <v>12540.52</v>
      </c>
      <c r="D4" s="850">
        <f ca="1">结果表!D118</f>
        <v>63587</v>
      </c>
      <c r="E4" s="850">
        <f ca="1">结果表!E118</f>
        <v>32066</v>
      </c>
      <c r="F4" s="850">
        <f ca="1">结果表!F118</f>
        <v>17623</v>
      </c>
      <c r="G4" s="850">
        <f ca="1">结果表!G118</f>
        <v>8887</v>
      </c>
      <c r="H4" s="850">
        <f ca="1">结果表!H118</f>
        <v>81210</v>
      </c>
      <c r="I4" s="850">
        <f ca="1">结果表!I118</f>
        <v>40953</v>
      </c>
    </row>
    <row r="5" spans="1:9" ht="30" customHeight="1">
      <c r="A5" s="3607" t="s">
        <v>923</v>
      </c>
      <c r="B5" s="3607"/>
      <c r="C5" s="3607"/>
      <c r="D5" s="3607" t="str">
        <f ca="1">结果表!D119</f>
        <v>陆亿叁仟伍佰捌拾柒万元整</v>
      </c>
      <c r="E5" s="3607"/>
      <c r="F5" s="3607" t="str">
        <f ca="1">结果表!F119</f>
        <v>壹亿柒仟陆佰贰拾叁万元整</v>
      </c>
      <c r="G5" s="3607"/>
      <c r="H5" s="3607" t="str">
        <f ca="1">结果表!H119</f>
        <v>捌亿壹仟贰佰壹拾万元整</v>
      </c>
      <c r="I5" s="3607"/>
    </row>
    <row r="6" spans="1:9" ht="15.6">
      <c r="A6" s="3608" t="str">
        <f>结果表!A120</f>
        <v>估价师知悉的法定优先受偿款</v>
      </c>
      <c r="B6" s="3608"/>
      <c r="C6" s="3608"/>
      <c r="D6" s="3608">
        <f>结果表!D120</f>
        <v>0</v>
      </c>
      <c r="E6" s="3608"/>
      <c r="F6" s="3608"/>
      <c r="G6" s="3608"/>
      <c r="H6" s="3608"/>
      <c r="I6" s="3608"/>
    </row>
    <row r="7" spans="1:9" ht="15">
      <c r="A7" s="3607" t="s">
        <v>923</v>
      </c>
      <c r="B7" s="3607"/>
      <c r="C7" s="3607"/>
      <c r="D7" s="3609" t="str">
        <f>结果表!D121</f>
        <v>零元整</v>
      </c>
      <c r="E7" s="3610"/>
      <c r="F7" s="3610"/>
      <c r="G7" s="3610"/>
      <c r="H7" s="3610"/>
      <c r="I7" s="3611"/>
    </row>
    <row r="8" spans="1:9" ht="15.6">
      <c r="A8" s="3608" t="str">
        <f>结果表!A122</f>
        <v>房地产抵押价值</v>
      </c>
      <c r="B8" s="3608"/>
      <c r="C8" s="3608"/>
      <c r="D8" s="3608">
        <f ca="1">结果表!D122</f>
        <v>81210</v>
      </c>
      <c r="E8" s="3608"/>
      <c r="F8" s="3608"/>
      <c r="G8" s="3608"/>
      <c r="H8" s="3608"/>
      <c r="I8" s="3608"/>
    </row>
    <row r="9" spans="1:9" ht="15">
      <c r="A9" s="3607" t="s">
        <v>923</v>
      </c>
      <c r="B9" s="3607"/>
      <c r="C9" s="3607"/>
      <c r="D9" s="3607" t="str">
        <f ca="1">结果表!D123</f>
        <v>捌亿壹仟贰佰壹拾万元整</v>
      </c>
      <c r="E9" s="3607"/>
      <c r="F9" s="3607"/>
      <c r="G9" s="3607"/>
      <c r="H9" s="3607"/>
      <c r="I9" s="3607"/>
    </row>
    <row r="10" spans="1:9" ht="15.6">
      <c r="A10" s="3608" t="str">
        <f>结果表!A124</f>
        <v/>
      </c>
      <c r="B10" s="3608"/>
      <c r="C10" s="3608"/>
      <c r="D10" s="3608" t="str">
        <f>结果表!D124</f>
        <v>——</v>
      </c>
      <c r="E10" s="3608"/>
      <c r="F10" s="3608"/>
      <c r="G10" s="3608"/>
      <c r="H10" s="3608"/>
      <c r="I10" s="3608"/>
    </row>
    <row r="11" spans="1:9" ht="15">
      <c r="A11" s="3607" t="s">
        <v>923</v>
      </c>
      <c r="B11" s="3607"/>
      <c r="C11" s="3607"/>
      <c r="D11" s="3607" t="e">
        <f>结果表!D125</f>
        <v>#VALUE!</v>
      </c>
      <c r="E11" s="3607"/>
      <c r="F11" s="3607"/>
      <c r="G11" s="3607"/>
      <c r="H11" s="3607"/>
      <c r="I11" s="3607"/>
    </row>
    <row r="12" spans="1:9" ht="15.6">
      <c r="A12" s="3608" t="str">
        <f>结果表!A126</f>
        <v/>
      </c>
      <c r="B12" s="3608"/>
      <c r="C12" s="3608"/>
      <c r="D12" s="3608" t="str">
        <f>结果表!D126</f>
        <v>——</v>
      </c>
      <c r="E12" s="3608"/>
      <c r="F12" s="3608"/>
      <c r="G12" s="3608"/>
      <c r="H12" s="3608"/>
      <c r="I12" s="3608"/>
    </row>
    <row r="13" spans="1:9" ht="15.6" thickBot="1">
      <c r="A13" s="3612" t="s">
        <v>923</v>
      </c>
      <c r="B13" s="3612"/>
      <c r="C13" s="3612"/>
      <c r="D13" s="3612" t="e">
        <f>结果表!D127</f>
        <v>#VALUE!</v>
      </c>
      <c r="E13" s="3612"/>
      <c r="F13" s="3612"/>
      <c r="G13" s="3612"/>
      <c r="H13" s="3612"/>
      <c r="I13" s="3612"/>
    </row>
    <row r="14" spans="1:9" ht="14.4" thickTop="1">
      <c r="A14" s="3613" t="s">
        <v>928</v>
      </c>
      <c r="B14" s="3613"/>
      <c r="C14" s="3613"/>
      <c r="D14" s="3613"/>
      <c r="E14" s="3613"/>
      <c r="F14" s="3613"/>
      <c r="G14" s="3613"/>
      <c r="H14" s="3613"/>
      <c r="I14" s="3613"/>
    </row>
    <row r="16" spans="1:9" ht="17.399999999999999">
      <c r="A16" s="1502" t="s">
        <v>911</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85" zoomScale="80" zoomScaleNormal="80" workbookViewId="0">
      <selection activeCell="B112" sqref="B112"/>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915" t="s">
        <v>2841</v>
      </c>
      <c r="B1" s="3915"/>
      <c r="C1" s="3915"/>
      <c r="D1" s="3915"/>
      <c r="E1" s="3915"/>
      <c r="F1" s="3915"/>
      <c r="G1" s="3916"/>
      <c r="I1" s="3219" t="s">
        <v>2842</v>
      </c>
      <c r="J1" s="3220" t="s">
        <v>2843</v>
      </c>
      <c r="K1" s="3220" t="s">
        <v>2844</v>
      </c>
      <c r="L1" s="3220" t="s">
        <v>2845</v>
      </c>
      <c r="M1" s="3220" t="s">
        <v>2846</v>
      </c>
      <c r="N1" s="3220" t="s">
        <v>2847</v>
      </c>
      <c r="O1" s="3220" t="s">
        <v>2848</v>
      </c>
      <c r="P1" s="3220" t="s">
        <v>2849</v>
      </c>
      <c r="Q1" s="3220" t="s">
        <v>2850</v>
      </c>
      <c r="R1" s="3220" t="s">
        <v>2851</v>
      </c>
      <c r="S1" s="3220" t="s">
        <v>2852</v>
      </c>
      <c r="T1" s="3221" t="s">
        <v>2853</v>
      </c>
    </row>
    <row r="2" spans="1:20" ht="11.4" thickBot="1">
      <c r="A2" s="3223" t="s">
        <v>2854</v>
      </c>
      <c r="B2" s="3223"/>
      <c r="C2" s="3223"/>
      <c r="D2" s="3223"/>
      <c r="E2" s="3223"/>
      <c r="F2" s="3223"/>
      <c r="G2" s="3224" t="s">
        <v>2855</v>
      </c>
      <c r="I2" s="3225" t="s">
        <v>2856</v>
      </c>
      <c r="J2" s="3225" t="s">
        <v>2857</v>
      </c>
      <c r="K2" s="3225" t="s">
        <v>2858</v>
      </c>
      <c r="L2" s="3225" t="s">
        <v>2859</v>
      </c>
      <c r="M2" s="3225" t="s">
        <v>2860</v>
      </c>
      <c r="N2" s="3225" t="s">
        <v>2861</v>
      </c>
      <c r="O2" s="3225" t="s">
        <v>2862</v>
      </c>
      <c r="P2" s="3225" t="s">
        <v>2863</v>
      </c>
      <c r="Q2" s="3225" t="s">
        <v>2864</v>
      </c>
      <c r="R2" s="3225" t="s">
        <v>2865</v>
      </c>
      <c r="S2" s="3225" t="s">
        <v>2866</v>
      </c>
      <c r="T2" s="3225" t="s">
        <v>2867</v>
      </c>
    </row>
    <row r="3" spans="1:20" s="3231" customFormat="1">
      <c r="A3" s="3913" t="s">
        <v>2868</v>
      </c>
      <c r="B3" s="3226"/>
      <c r="C3" s="3227" t="s">
        <v>2809</v>
      </c>
      <c r="D3" s="3227" t="s">
        <v>2869</v>
      </c>
      <c r="E3" s="3227" t="s">
        <v>2811</v>
      </c>
      <c r="F3" s="3227" t="s">
        <v>2870</v>
      </c>
      <c r="G3" s="3227" t="s">
        <v>2629</v>
      </c>
      <c r="H3" s="3228"/>
      <c r="I3" s="3229" t="s">
        <v>2871</v>
      </c>
      <c r="J3" s="3230" t="s">
        <v>128</v>
      </c>
      <c r="K3" s="3230" t="s">
        <v>129</v>
      </c>
      <c r="L3" s="3229" t="s">
        <v>130</v>
      </c>
      <c r="M3" s="3229" t="s">
        <v>131</v>
      </c>
      <c r="N3" s="3229" t="s">
        <v>132</v>
      </c>
      <c r="O3" s="3229" t="s">
        <v>133</v>
      </c>
      <c r="P3" s="3229" t="s">
        <v>134</v>
      </c>
      <c r="Q3" s="3229" t="s">
        <v>135</v>
      </c>
      <c r="R3" s="3229" t="s">
        <v>136</v>
      </c>
      <c r="S3" s="3229" t="s">
        <v>2872</v>
      </c>
      <c r="T3" s="3229" t="s">
        <v>2873</v>
      </c>
    </row>
    <row r="4" spans="1:20" s="3231" customFormat="1" ht="11.4" thickBot="1">
      <c r="A4" s="3914"/>
      <c r="B4" s="3232" t="s">
        <v>2874</v>
      </c>
      <c r="C4" s="3232" t="s">
        <v>2875</v>
      </c>
      <c r="D4" s="3232" t="s">
        <v>2875</v>
      </c>
      <c r="E4" s="3232" t="s">
        <v>2875</v>
      </c>
      <c r="F4" s="3233" t="s">
        <v>2875</v>
      </c>
      <c r="G4" s="3233" t="s">
        <v>2875</v>
      </c>
      <c r="H4" s="3228"/>
      <c r="I4" s="3230" t="s">
        <v>137</v>
      </c>
      <c r="J4" s="3230" t="s">
        <v>111</v>
      </c>
      <c r="K4" s="3230" t="s">
        <v>138</v>
      </c>
      <c r="L4" s="3229" t="s">
        <v>139</v>
      </c>
      <c r="M4" s="3229" t="s">
        <v>140</v>
      </c>
      <c r="N4" s="3229" t="s">
        <v>141</v>
      </c>
      <c r="O4" s="3229" t="s">
        <v>142</v>
      </c>
      <c r="P4" s="3229" t="s">
        <v>143</v>
      </c>
      <c r="Q4" s="3229" t="s">
        <v>2876</v>
      </c>
      <c r="R4" s="3229" t="s">
        <v>2877</v>
      </c>
      <c r="S4" s="3229" t="s">
        <v>2878</v>
      </c>
      <c r="T4" s="3229" t="s">
        <v>2879</v>
      </c>
    </row>
    <row r="5" spans="1:20">
      <c r="A5" s="3234" t="s">
        <v>2842</v>
      </c>
      <c r="B5" s="3225" t="s">
        <v>2856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2880</v>
      </c>
      <c r="R5" s="3229" t="s">
        <v>2881</v>
      </c>
      <c r="S5" s="3229" t="s">
        <v>153</v>
      </c>
      <c r="T5" s="3229" t="s">
        <v>2882</v>
      </c>
    </row>
    <row r="6" spans="1:20" ht="11.4" thickBot="1">
      <c r="A6" s="3229" t="s">
        <v>144</v>
      </c>
      <c r="B6" s="3229" t="s">
        <v>2871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2883</v>
      </c>
      <c r="Q6" s="3229" t="s">
        <v>2884</v>
      </c>
      <c r="R6" s="3229" t="s">
        <v>161</v>
      </c>
      <c r="S6" s="3229" t="s">
        <v>2885</v>
      </c>
      <c r="T6" s="3229" t="s">
        <v>2886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2887</v>
      </c>
      <c r="Q7" s="3229" t="s">
        <v>2888</v>
      </c>
      <c r="R7" s="3229" t="s">
        <v>2889</v>
      </c>
      <c r="S7" s="3229" t="s">
        <v>2890</v>
      </c>
      <c r="T7" s="3229" t="s">
        <v>2891</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2892</v>
      </c>
      <c r="Q8" s="3229" t="s">
        <v>174</v>
      </c>
      <c r="R8" s="3229" t="s">
        <v>2893</v>
      </c>
      <c r="S8" s="3229" t="s">
        <v>2894</v>
      </c>
      <c r="T8" s="3236" t="s">
        <v>2895</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2896</v>
      </c>
      <c r="Q9" s="3229" t="s">
        <v>182</v>
      </c>
      <c r="R9" s="3229" t="s">
        <v>183</v>
      </c>
      <c r="S9" s="3229" t="s">
        <v>200</v>
      </c>
    </row>
    <row r="10" spans="1:20">
      <c r="A10" s="3234" t="s">
        <v>184</v>
      </c>
      <c r="B10" s="3225" t="s">
        <v>2857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2898</v>
      </c>
      <c r="P11" s="3229" t="s">
        <v>191</v>
      </c>
      <c r="Q11" s="3229" t="s">
        <v>199</v>
      </c>
      <c r="R11" s="3229" t="s">
        <v>2899</v>
      </c>
      <c r="S11" s="3229" t="s">
        <v>2900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2901</v>
      </c>
      <c r="P12" s="3229" t="s">
        <v>2902</v>
      </c>
      <c r="Q12" s="3229" t="s">
        <v>2903</v>
      </c>
      <c r="R12" s="3229" t="s">
        <v>2904</v>
      </c>
      <c r="S12" s="3229" t="s">
        <v>2905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2907</v>
      </c>
      <c r="K14" s="3230" t="s">
        <v>215</v>
      </c>
      <c r="L14" s="3229" t="s">
        <v>216</v>
      </c>
      <c r="M14" s="3229" t="s">
        <v>217</v>
      </c>
      <c r="N14" s="3229" t="s">
        <v>218</v>
      </c>
      <c r="O14" s="3229" t="s">
        <v>240</v>
      </c>
      <c r="P14" s="3229" t="s">
        <v>213</v>
      </c>
      <c r="Q14" s="3229" t="s">
        <v>2908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2909</v>
      </c>
      <c r="P15" s="3229" t="s">
        <v>2910</v>
      </c>
      <c r="Q15" s="3229" t="s">
        <v>242</v>
      </c>
      <c r="R15" s="3229" t="s">
        <v>2911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2912</v>
      </c>
      <c r="P16" s="3229" t="s">
        <v>227</v>
      </c>
      <c r="Q16" s="3229" t="s">
        <v>250</v>
      </c>
      <c r="R16" s="3229" t="s">
        <v>207</v>
      </c>
      <c r="S16" s="3229" t="s">
        <v>2913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2914</v>
      </c>
      <c r="P17" s="3229" t="s">
        <v>2915</v>
      </c>
      <c r="Q17" s="3229" t="s">
        <v>256</v>
      </c>
      <c r="R17" s="3229" t="s">
        <v>2916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2917</v>
      </c>
      <c r="P18" s="3229" t="s">
        <v>241</v>
      </c>
      <c r="Q18" s="3229" t="s">
        <v>2918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2919</v>
      </c>
      <c r="P19" s="3229" t="s">
        <v>249</v>
      </c>
      <c r="Q19" s="3229" t="s">
        <v>2920</v>
      </c>
      <c r="R19" s="3229" t="s">
        <v>265</v>
      </c>
      <c r="S19" s="3229" t="s">
        <v>2921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2922</v>
      </c>
      <c r="P20" s="3229" t="s">
        <v>2923</v>
      </c>
      <c r="Q20" s="3229" t="s">
        <v>290</v>
      </c>
      <c r="R20" s="3229" t="s">
        <v>2924</v>
      </c>
      <c r="S20" s="3229" t="s">
        <v>277</v>
      </c>
    </row>
    <row r="21" spans="1:19" ht="14.25" customHeight="1" thickBot="1">
      <c r="A21" s="3229" t="s">
        <v>184</v>
      </c>
      <c r="B21" s="3230" t="s">
        <v>208</v>
      </c>
      <c r="C21" s="3229">
        <v>32370</v>
      </c>
      <c r="D21" s="3229">
        <v>26730</v>
      </c>
      <c r="E21" s="3229">
        <v>26640</v>
      </c>
      <c r="F21" s="3229"/>
      <c r="G21" s="3229">
        <v>19440</v>
      </c>
      <c r="J21" s="3236" t="s">
        <v>2925</v>
      </c>
      <c r="K21" s="3230" t="s">
        <v>267</v>
      </c>
      <c r="L21" s="3229" t="s">
        <v>268</v>
      </c>
      <c r="M21" s="3229" t="s">
        <v>269</v>
      </c>
      <c r="N21" s="3229" t="s">
        <v>270</v>
      </c>
      <c r="O21" s="3229" t="s">
        <v>264</v>
      </c>
      <c r="P21" s="3229" t="s">
        <v>283</v>
      </c>
      <c r="Q21" s="3229" t="s">
        <v>293</v>
      </c>
      <c r="R21" s="3229" t="s">
        <v>2926</v>
      </c>
      <c r="S21" s="3236" t="s">
        <v>2927</v>
      </c>
    </row>
    <row r="22" spans="1:19" ht="14.25" customHeight="1">
      <c r="A22" s="3229" t="s">
        <v>184</v>
      </c>
      <c r="B22" s="3230" t="s">
        <v>2907</v>
      </c>
      <c r="C22" s="3229">
        <v>29830</v>
      </c>
      <c r="D22" s="3229">
        <v>27600</v>
      </c>
      <c r="E22" s="3229">
        <v>28150</v>
      </c>
      <c r="F22" s="3229"/>
      <c r="G22" s="3229">
        <v>20080</v>
      </c>
      <c r="K22" s="3230" t="s">
        <v>2928</v>
      </c>
      <c r="L22" s="3229" t="s">
        <v>272</v>
      </c>
      <c r="M22" s="3229" t="s">
        <v>273</v>
      </c>
      <c r="N22" s="3229" t="s">
        <v>274</v>
      </c>
      <c r="O22" s="3229" t="s">
        <v>2929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2930</v>
      </c>
      <c r="L23" s="3229" t="s">
        <v>278</v>
      </c>
      <c r="M23" s="3229" t="s">
        <v>279</v>
      </c>
      <c r="N23" s="3229" t="s">
        <v>2931</v>
      </c>
      <c r="O23" s="3229" t="s">
        <v>2932</v>
      </c>
      <c r="P23" s="3229" t="s">
        <v>289</v>
      </c>
      <c r="Q23" s="3229" t="s">
        <v>298</v>
      </c>
      <c r="R23" s="3229" t="s">
        <v>2933</v>
      </c>
    </row>
    <row r="24" spans="1:19" ht="14.25" customHeight="1">
      <c r="A24" s="3229" t="s">
        <v>184</v>
      </c>
      <c r="B24" s="3230" t="s">
        <v>230</v>
      </c>
      <c r="C24" s="3229">
        <v>27930</v>
      </c>
      <c r="D24" s="3229">
        <v>32260</v>
      </c>
      <c r="E24" s="3229">
        <v>32120</v>
      </c>
      <c r="F24" s="3229"/>
      <c r="G24" s="3229">
        <v>23470</v>
      </c>
      <c r="K24" s="3230" t="s">
        <v>2934</v>
      </c>
      <c r="L24" s="3229" t="s">
        <v>281</v>
      </c>
      <c r="M24" s="3229" t="s">
        <v>282</v>
      </c>
      <c r="N24" s="3229" t="s">
        <v>2935</v>
      </c>
      <c r="O24" s="3229" t="s">
        <v>285</v>
      </c>
      <c r="P24" s="3229" t="s">
        <v>2936</v>
      </c>
      <c r="Q24" s="3238" t="s">
        <v>2937</v>
      </c>
      <c r="R24" s="3229" t="s">
        <v>2938</v>
      </c>
    </row>
    <row r="25" spans="1:19" ht="14.25" customHeight="1">
      <c r="A25" s="3229" t="s">
        <v>184</v>
      </c>
      <c r="B25" s="3230" t="s">
        <v>235</v>
      </c>
      <c r="C25" s="3229">
        <v>32230</v>
      </c>
      <c r="D25" s="3229">
        <v>29640</v>
      </c>
      <c r="E25" s="3229">
        <v>29510</v>
      </c>
      <c r="F25" s="3229"/>
      <c r="G25" s="3229">
        <v>21560</v>
      </c>
      <c r="K25" s="3230" t="s">
        <v>2939</v>
      </c>
      <c r="L25" s="3229" t="s">
        <v>2940</v>
      </c>
      <c r="M25" s="3229" t="s">
        <v>284</v>
      </c>
      <c r="N25" s="3229" t="s">
        <v>292</v>
      </c>
      <c r="O25" s="3229" t="s">
        <v>288</v>
      </c>
      <c r="P25" s="3229" t="s">
        <v>275</v>
      </c>
      <c r="Q25" s="3238" t="s">
        <v>271</v>
      </c>
      <c r="R25" s="3229" t="s">
        <v>2941</v>
      </c>
    </row>
    <row r="26" spans="1:19" ht="14.25" customHeight="1" thickBot="1">
      <c r="A26" s="3229" t="s">
        <v>184</v>
      </c>
      <c r="B26" s="3230" t="s">
        <v>244</v>
      </c>
      <c r="C26" s="3229">
        <v>31690</v>
      </c>
      <c r="D26" s="3229">
        <v>27650</v>
      </c>
      <c r="E26" s="3229">
        <v>28200</v>
      </c>
      <c r="F26" s="3229"/>
      <c r="G26" s="3229">
        <v>20110</v>
      </c>
      <c r="K26" s="3235" t="s">
        <v>2942</v>
      </c>
      <c r="L26" s="3229" t="s">
        <v>2943</v>
      </c>
      <c r="M26" s="3229" t="s">
        <v>287</v>
      </c>
      <c r="N26" s="3229" t="s">
        <v>294</v>
      </c>
      <c r="O26" s="3229" t="s">
        <v>2944</v>
      </c>
      <c r="P26" s="3229" t="s">
        <v>2945</v>
      </c>
      <c r="Q26" s="3238" t="s">
        <v>276</v>
      </c>
      <c r="R26" s="3229" t="s">
        <v>2946</v>
      </c>
    </row>
    <row r="27" spans="1:19" ht="14.25" customHeight="1">
      <c r="A27" s="3229" t="s">
        <v>184</v>
      </c>
      <c r="B27" s="3230" t="s">
        <v>251</v>
      </c>
      <c r="C27" s="3229">
        <v>29610</v>
      </c>
      <c r="D27" s="3229">
        <v>27770</v>
      </c>
      <c r="E27" s="3229">
        <v>28300</v>
      </c>
      <c r="F27" s="3229"/>
      <c r="G27" s="3229">
        <v>20210</v>
      </c>
      <c r="L27" s="3229" t="s">
        <v>2947</v>
      </c>
      <c r="M27" s="3229" t="s">
        <v>291</v>
      </c>
      <c r="N27" s="3229" t="s">
        <v>297</v>
      </c>
      <c r="O27" s="3229" t="s">
        <v>2948</v>
      </c>
      <c r="P27" s="3229" t="s">
        <v>2949</v>
      </c>
      <c r="Q27" s="3229" t="s">
        <v>2950</v>
      </c>
      <c r="R27" s="3229" t="s">
        <v>2951</v>
      </c>
    </row>
    <row r="28" spans="1:19" ht="14.25" customHeight="1">
      <c r="A28" s="3229" t="s">
        <v>184</v>
      </c>
      <c r="B28" s="3230" t="s">
        <v>259</v>
      </c>
      <c r="C28" s="3229"/>
      <c r="D28" s="3229">
        <v>31520</v>
      </c>
      <c r="E28" s="3229">
        <v>31410</v>
      </c>
      <c r="F28" s="3229"/>
      <c r="G28" s="3229">
        <v>22940</v>
      </c>
      <c r="L28" s="3229" t="s">
        <v>2952</v>
      </c>
      <c r="M28" s="3229" t="s">
        <v>2953</v>
      </c>
      <c r="N28" s="3229" t="s">
        <v>2954</v>
      </c>
      <c r="O28" s="3229" t="s">
        <v>2955</v>
      </c>
      <c r="P28" s="3229" t="s">
        <v>2956</v>
      </c>
      <c r="Q28" s="3229" t="s">
        <v>2957</v>
      </c>
      <c r="R28" s="3229" t="s">
        <v>2958</v>
      </c>
    </row>
    <row r="29" spans="1:19" ht="14.25" customHeight="1" thickBot="1">
      <c r="A29" s="3237" t="s">
        <v>184</v>
      </c>
      <c r="B29" s="3239" t="s">
        <v>2925</v>
      </c>
      <c r="C29" s="3240"/>
      <c r="D29" s="3240">
        <v>29460</v>
      </c>
      <c r="E29" s="3240">
        <v>28640</v>
      </c>
      <c r="F29" s="3240"/>
      <c r="G29" s="3240">
        <v>21430</v>
      </c>
      <c r="L29" s="3229" t="s">
        <v>2959</v>
      </c>
      <c r="M29" s="3229" t="s">
        <v>2960</v>
      </c>
      <c r="N29" s="3229" t="s">
        <v>2961</v>
      </c>
      <c r="O29" s="3229" t="s">
        <v>2962</v>
      </c>
      <c r="P29" s="3229" t="s">
        <v>2963</v>
      </c>
      <c r="Q29" s="3229" t="s">
        <v>2964</v>
      </c>
      <c r="R29" s="3229" t="s">
        <v>280</v>
      </c>
    </row>
    <row r="30" spans="1:19" ht="14.25" customHeight="1">
      <c r="A30" s="3234" t="s">
        <v>296</v>
      </c>
      <c r="B30" s="3225" t="s">
        <v>2858</v>
      </c>
      <c r="C30" s="3225">
        <v>26890</v>
      </c>
      <c r="D30" s="3225">
        <v>26770</v>
      </c>
      <c r="E30" s="3225">
        <v>25700</v>
      </c>
      <c r="F30" s="3225">
        <v>8180</v>
      </c>
      <c r="G30" s="3241">
        <v>18740</v>
      </c>
      <c r="L30" s="3229" t="s">
        <v>2965</v>
      </c>
      <c r="M30" s="3229" t="s">
        <v>2966</v>
      </c>
      <c r="N30" s="3229" t="s">
        <v>2967</v>
      </c>
      <c r="O30" s="3229" t="s">
        <v>2968</v>
      </c>
      <c r="P30" s="3229" t="s">
        <v>2969</v>
      </c>
      <c r="Q30" s="3229" t="s">
        <v>2970</v>
      </c>
      <c r="R30" s="3229" t="s">
        <v>2971</v>
      </c>
    </row>
    <row r="31" spans="1:19" ht="14.25" customHeight="1">
      <c r="A31" s="3229" t="s">
        <v>296</v>
      </c>
      <c r="B31" s="3230" t="s">
        <v>129</v>
      </c>
      <c r="C31" s="3229">
        <v>24550</v>
      </c>
      <c r="D31" s="3229">
        <v>23990</v>
      </c>
      <c r="E31" s="3229">
        <v>22930</v>
      </c>
      <c r="F31" s="3229">
        <v>7470</v>
      </c>
      <c r="G31" s="3242">
        <v>16790</v>
      </c>
      <c r="L31" s="3229" t="s">
        <v>2972</v>
      </c>
      <c r="M31" s="3229" t="s">
        <v>2973</v>
      </c>
      <c r="N31" s="3229" t="s">
        <v>2974</v>
      </c>
      <c r="O31" s="3229" t="s">
        <v>2975</v>
      </c>
      <c r="P31" s="3229" t="s">
        <v>2976</v>
      </c>
      <c r="Q31" s="3229" t="s">
        <v>2977</v>
      </c>
      <c r="R31" s="3229" t="s">
        <v>2978</v>
      </c>
    </row>
    <row r="32" spans="1:19" ht="14.25" customHeight="1" thickBot="1">
      <c r="A32" s="3229" t="s">
        <v>296</v>
      </c>
      <c r="B32" s="3230" t="s">
        <v>138</v>
      </c>
      <c r="C32" s="3229">
        <v>27210</v>
      </c>
      <c r="D32" s="3229">
        <v>23240</v>
      </c>
      <c r="E32" s="3229">
        <v>23260</v>
      </c>
      <c r="F32" s="3229">
        <v>7130</v>
      </c>
      <c r="G32" s="3242">
        <v>16270</v>
      </c>
      <c r="L32" s="3229" t="s">
        <v>2979</v>
      </c>
      <c r="M32" s="3229" t="s">
        <v>2980</v>
      </c>
      <c r="N32" s="3229" t="s">
        <v>300</v>
      </c>
      <c r="O32" s="3229" t="s">
        <v>2981</v>
      </c>
      <c r="P32" s="3229" t="s">
        <v>299</v>
      </c>
      <c r="Q32" s="3229" t="s">
        <v>2982</v>
      </c>
      <c r="R32" s="3236" t="s">
        <v>2983</v>
      </c>
    </row>
    <row r="33" spans="1:17" ht="14.25" customHeight="1" thickBot="1">
      <c r="A33" s="3229" t="s">
        <v>296</v>
      </c>
      <c r="B33" s="3230" t="s">
        <v>147</v>
      </c>
      <c r="C33" s="3229">
        <v>27300</v>
      </c>
      <c r="D33" s="3229">
        <v>22980</v>
      </c>
      <c r="E33" s="3229">
        <v>24260</v>
      </c>
      <c r="F33" s="3229">
        <v>5860</v>
      </c>
      <c r="G33" s="3242">
        <v>16090</v>
      </c>
      <c r="L33" s="3236" t="s">
        <v>2984</v>
      </c>
      <c r="M33" s="3229" t="s">
        <v>2985</v>
      </c>
      <c r="N33" s="3229" t="s">
        <v>301</v>
      </c>
      <c r="O33" s="3229" t="s">
        <v>2986</v>
      </c>
      <c r="P33" s="3229" t="s">
        <v>2987</v>
      </c>
      <c r="Q33" s="3229" t="s">
        <v>2988</v>
      </c>
    </row>
    <row r="34" spans="1:17" ht="14.25" customHeight="1">
      <c r="A34" s="3229" t="s">
        <v>296</v>
      </c>
      <c r="B34" s="3230" t="s">
        <v>156</v>
      </c>
      <c r="C34" s="3229">
        <v>23090</v>
      </c>
      <c r="D34" s="3229">
        <v>23390</v>
      </c>
      <c r="E34" s="3229">
        <v>23510</v>
      </c>
      <c r="F34" s="3229">
        <v>6700</v>
      </c>
      <c r="G34" s="3242">
        <v>16370</v>
      </c>
      <c r="M34" s="3229" t="s">
        <v>2989</v>
      </c>
      <c r="N34" s="3229" t="s">
        <v>302</v>
      </c>
      <c r="O34" s="3229" t="s">
        <v>2990</v>
      </c>
      <c r="P34" s="3229" t="s">
        <v>2991</v>
      </c>
      <c r="Q34" s="3229" t="s">
        <v>2992</v>
      </c>
    </row>
    <row r="35" spans="1:17" ht="14.25" customHeight="1">
      <c r="A35" s="3229" t="s">
        <v>296</v>
      </c>
      <c r="B35" s="3230" t="s">
        <v>163</v>
      </c>
      <c r="C35" s="3229">
        <v>27270</v>
      </c>
      <c r="D35" s="3229">
        <v>24270</v>
      </c>
      <c r="E35" s="3229">
        <v>24950</v>
      </c>
      <c r="F35" s="3229">
        <v>6600</v>
      </c>
      <c r="G35" s="3242">
        <v>16990</v>
      </c>
      <c r="M35" s="3229" t="s">
        <v>2993</v>
      </c>
      <c r="N35" s="3229" t="s">
        <v>2994</v>
      </c>
      <c r="O35" s="3229" t="s">
        <v>2995</v>
      </c>
      <c r="P35" s="3229" t="s">
        <v>2996</v>
      </c>
      <c r="Q35" s="3229" t="s">
        <v>2997</v>
      </c>
    </row>
    <row r="36" spans="1:17" ht="14.25" customHeight="1">
      <c r="A36" s="3229" t="s">
        <v>296</v>
      </c>
      <c r="B36" s="3230" t="s">
        <v>169</v>
      </c>
      <c r="C36" s="3229">
        <v>23490</v>
      </c>
      <c r="D36" s="3229">
        <v>23020</v>
      </c>
      <c r="E36" s="3229">
        <v>25230</v>
      </c>
      <c r="F36" s="3229">
        <v>6780</v>
      </c>
      <c r="G36" s="3242">
        <v>16120</v>
      </c>
      <c r="M36" s="3229" t="s">
        <v>2998</v>
      </c>
      <c r="N36" s="3229" t="s">
        <v>2999</v>
      </c>
      <c r="O36" s="3229" t="s">
        <v>3000</v>
      </c>
      <c r="P36" s="3229" t="s">
        <v>3001</v>
      </c>
      <c r="Q36" s="3229" t="s">
        <v>3002</v>
      </c>
    </row>
    <row r="37" spans="1:17" ht="14.25" customHeight="1">
      <c r="A37" s="3229" t="s">
        <v>296</v>
      </c>
      <c r="B37" s="3230" t="s">
        <v>176</v>
      </c>
      <c r="C37" s="3229">
        <v>24380</v>
      </c>
      <c r="D37" s="3229">
        <v>22240</v>
      </c>
      <c r="E37" s="3229">
        <v>25980</v>
      </c>
      <c r="F37" s="3229">
        <v>8160</v>
      </c>
      <c r="G37" s="3242">
        <v>15570</v>
      </c>
      <c r="M37" s="3229" t="s">
        <v>3003</v>
      </c>
      <c r="N37" s="3229" t="s">
        <v>3004</v>
      </c>
      <c r="O37" s="3229" t="s">
        <v>3005</v>
      </c>
      <c r="P37" s="3229" t="s">
        <v>3006</v>
      </c>
      <c r="Q37" s="3229" t="s">
        <v>3007</v>
      </c>
    </row>
    <row r="38" spans="1:17" ht="14.25" customHeight="1">
      <c r="A38" s="3229" t="s">
        <v>296</v>
      </c>
      <c r="B38" s="3230" t="s">
        <v>186</v>
      </c>
      <c r="C38" s="3229">
        <v>23120</v>
      </c>
      <c r="D38" s="3229">
        <v>24630</v>
      </c>
      <c r="E38" s="3229">
        <v>25030</v>
      </c>
      <c r="F38" s="3229">
        <v>7710</v>
      </c>
      <c r="G38" s="3242">
        <v>17240</v>
      </c>
      <c r="M38" s="3229" t="s">
        <v>3008</v>
      </c>
      <c r="N38" s="3229" t="s">
        <v>3009</v>
      </c>
      <c r="O38" s="3229" t="s">
        <v>3010</v>
      </c>
      <c r="P38" s="3229" t="s">
        <v>3011</v>
      </c>
      <c r="Q38" s="3229" t="s">
        <v>3012</v>
      </c>
    </row>
    <row r="39" spans="1:17" ht="14.25" customHeight="1">
      <c r="A39" s="3229" t="s">
        <v>296</v>
      </c>
      <c r="B39" s="3230" t="s">
        <v>195</v>
      </c>
      <c r="C39" s="3229">
        <v>22330</v>
      </c>
      <c r="D39" s="3229">
        <v>21140</v>
      </c>
      <c r="E39" s="3229">
        <v>23970</v>
      </c>
      <c r="F39" s="3229">
        <v>7940</v>
      </c>
      <c r="G39" s="3242">
        <v>14790</v>
      </c>
      <c r="M39" s="3229" t="s">
        <v>3013</v>
      </c>
      <c r="N39" s="3229" t="s">
        <v>3014</v>
      </c>
      <c r="O39" s="3229" t="s">
        <v>3015</v>
      </c>
      <c r="P39" s="3229" t="s">
        <v>3016</v>
      </c>
      <c r="Q39" s="3229" t="s">
        <v>3017</v>
      </c>
    </row>
    <row r="40" spans="1:17" ht="14.25" customHeight="1">
      <c r="A40" s="3229" t="s">
        <v>296</v>
      </c>
      <c r="B40" s="3230" t="s">
        <v>202</v>
      </c>
      <c r="C40" s="3229">
        <v>24740</v>
      </c>
      <c r="D40" s="3229">
        <v>24690</v>
      </c>
      <c r="E40" s="3229">
        <v>22610</v>
      </c>
      <c r="F40" s="3229"/>
      <c r="G40" s="3242">
        <v>17280</v>
      </c>
      <c r="M40" s="3229" t="s">
        <v>3018</v>
      </c>
      <c r="N40" s="3229" t="s">
        <v>3019</v>
      </c>
      <c r="O40" s="3229" t="s">
        <v>3020</v>
      </c>
      <c r="P40" s="3229" t="s">
        <v>3021</v>
      </c>
      <c r="Q40" s="3229" t="s">
        <v>3022</v>
      </c>
    </row>
    <row r="41" spans="1:17" ht="14.25" customHeight="1" thickBot="1">
      <c r="A41" s="3229" t="s">
        <v>296</v>
      </c>
      <c r="B41" s="3230" t="s">
        <v>209</v>
      </c>
      <c r="C41" s="3229">
        <v>21220</v>
      </c>
      <c r="D41" s="3229">
        <v>21120</v>
      </c>
      <c r="E41" s="3229">
        <v>22590</v>
      </c>
      <c r="F41" s="3229"/>
      <c r="G41" s="3242">
        <v>14780</v>
      </c>
      <c r="M41" s="3236" t="s">
        <v>3023</v>
      </c>
      <c r="N41" s="3229" t="s">
        <v>3024</v>
      </c>
      <c r="O41" s="3229" t="s">
        <v>3025</v>
      </c>
      <c r="P41" s="3229" t="s">
        <v>3026</v>
      </c>
      <c r="Q41" s="3229" t="s">
        <v>3027</v>
      </c>
    </row>
    <row r="42" spans="1:17" ht="14.25" customHeight="1">
      <c r="A42" s="3229" t="s">
        <v>296</v>
      </c>
      <c r="B42" s="3230" t="s">
        <v>215</v>
      </c>
      <c r="C42" s="3229">
        <v>24800</v>
      </c>
      <c r="D42" s="3229">
        <v>22280</v>
      </c>
      <c r="E42" s="3229">
        <v>24350</v>
      </c>
      <c r="F42" s="3229"/>
      <c r="G42" s="3242">
        <v>15590</v>
      </c>
      <c r="N42" s="3229" t="s">
        <v>3028</v>
      </c>
      <c r="O42" s="3229" t="s">
        <v>3029</v>
      </c>
      <c r="P42" s="3229" t="s">
        <v>3030</v>
      </c>
      <c r="Q42" s="3229" t="s">
        <v>3031</v>
      </c>
    </row>
    <row r="43" spans="1:17" ht="14.25" customHeight="1">
      <c r="A43" s="3229" t="s">
        <v>3032</v>
      </c>
      <c r="B43" s="3230" t="s">
        <v>223</v>
      </c>
      <c r="C43" s="3229">
        <v>21210</v>
      </c>
      <c r="D43" s="3229">
        <v>21160</v>
      </c>
      <c r="E43" s="3229">
        <v>22650</v>
      </c>
      <c r="F43" s="3229"/>
      <c r="G43" s="3242">
        <v>14800</v>
      </c>
      <c r="N43" s="3229" t="s">
        <v>3033</v>
      </c>
      <c r="O43" s="3229" t="s">
        <v>3034</v>
      </c>
      <c r="P43" s="3229" t="s">
        <v>3035</v>
      </c>
      <c r="Q43" s="3229" t="s">
        <v>3036</v>
      </c>
    </row>
    <row r="44" spans="1:17" ht="14.25" customHeight="1" thickBot="1">
      <c r="A44" s="3229" t="s">
        <v>296</v>
      </c>
      <c r="B44" s="3230" t="s">
        <v>231</v>
      </c>
      <c r="C44" s="3229">
        <v>22370</v>
      </c>
      <c r="D44" s="3229">
        <v>23140</v>
      </c>
      <c r="E44" s="3229">
        <v>25090</v>
      </c>
      <c r="F44" s="3229"/>
      <c r="G44" s="3242">
        <v>16190</v>
      </c>
      <c r="N44" s="3229" t="s">
        <v>3037</v>
      </c>
      <c r="O44" s="3229" t="s">
        <v>3038</v>
      </c>
      <c r="P44" s="3236" t="s">
        <v>3039</v>
      </c>
      <c r="Q44" s="3229" t="s">
        <v>3040</v>
      </c>
    </row>
    <row r="45" spans="1:17" ht="14.25" customHeight="1" thickBot="1">
      <c r="A45" s="3229" t="s">
        <v>296</v>
      </c>
      <c r="B45" s="3230" t="s">
        <v>236</v>
      </c>
      <c r="C45" s="3229">
        <v>21240</v>
      </c>
      <c r="D45" s="3229">
        <v>27050</v>
      </c>
      <c r="E45" s="3229">
        <v>28000</v>
      </c>
      <c r="F45" s="3229"/>
      <c r="G45" s="3242">
        <v>18940</v>
      </c>
      <c r="N45" s="3229" t="s">
        <v>3041</v>
      </c>
      <c r="O45" s="3236" t="s">
        <v>3042</v>
      </c>
      <c r="Q45" s="3229" t="s">
        <v>3043</v>
      </c>
    </row>
    <row r="46" spans="1:17" ht="14.25" customHeight="1">
      <c r="A46" s="3229" t="s">
        <v>296</v>
      </c>
      <c r="B46" s="3230" t="s">
        <v>245</v>
      </c>
      <c r="C46" s="3229">
        <v>23240</v>
      </c>
      <c r="D46" s="3229">
        <v>23000</v>
      </c>
      <c r="E46" s="3229">
        <v>24980</v>
      </c>
      <c r="F46" s="3229"/>
      <c r="G46" s="3242">
        <v>16100</v>
      </c>
      <c r="N46" s="3229" t="s">
        <v>3044</v>
      </c>
      <c r="Q46" s="3229" t="s">
        <v>3045</v>
      </c>
    </row>
    <row r="47" spans="1:17" ht="14.25" customHeight="1">
      <c r="A47" s="3229" t="s">
        <v>296</v>
      </c>
      <c r="B47" s="3230" t="s">
        <v>252</v>
      </c>
      <c r="C47" s="3229">
        <v>27150</v>
      </c>
      <c r="D47" s="3229">
        <v>23310</v>
      </c>
      <c r="E47" s="3229">
        <v>25150</v>
      </c>
      <c r="F47" s="3229"/>
      <c r="G47" s="3242">
        <v>16310</v>
      </c>
      <c r="N47" s="3229" t="s">
        <v>3046</v>
      </c>
      <c r="Q47" s="3229" t="s">
        <v>3047</v>
      </c>
    </row>
    <row r="48" spans="1:17" ht="14.25" customHeight="1">
      <c r="A48" s="3229" t="s">
        <v>296</v>
      </c>
      <c r="B48" s="3230" t="s">
        <v>260</v>
      </c>
      <c r="C48" s="3229">
        <v>23100</v>
      </c>
      <c r="D48" s="3229">
        <v>21110</v>
      </c>
      <c r="E48" s="3229">
        <v>23080</v>
      </c>
      <c r="F48" s="3229"/>
      <c r="G48" s="3242">
        <v>14780</v>
      </c>
      <c r="N48" s="3229" t="s">
        <v>3048</v>
      </c>
      <c r="Q48" s="3229" t="s">
        <v>3049</v>
      </c>
    </row>
    <row r="49" spans="1:17" ht="14.25" customHeight="1">
      <c r="A49" s="3229" t="s">
        <v>296</v>
      </c>
      <c r="B49" s="3230" t="s">
        <v>267</v>
      </c>
      <c r="C49" s="3229">
        <v>23400</v>
      </c>
      <c r="D49" s="3229">
        <v>22920</v>
      </c>
      <c r="E49" s="3229">
        <v>24900</v>
      </c>
      <c r="F49" s="3229"/>
      <c r="G49" s="3242">
        <v>16040</v>
      </c>
      <c r="N49" s="3229" t="s">
        <v>3050</v>
      </c>
      <c r="Q49" s="3229" t="s">
        <v>3051</v>
      </c>
    </row>
    <row r="50" spans="1:17" ht="14.25" customHeight="1">
      <c r="A50" s="3229" t="s">
        <v>296</v>
      </c>
      <c r="B50" s="3230" t="s">
        <v>2928</v>
      </c>
      <c r="C50" s="3229">
        <v>21200</v>
      </c>
      <c r="D50" s="3229">
        <v>26540</v>
      </c>
      <c r="E50" s="3229">
        <v>23200</v>
      </c>
      <c r="F50" s="3229"/>
      <c r="G50" s="3242">
        <v>18580</v>
      </c>
      <c r="N50" s="3229" t="s">
        <v>3052</v>
      </c>
      <c r="Q50" s="3230" t="s">
        <v>3053</v>
      </c>
    </row>
    <row r="51" spans="1:17" ht="14.25" customHeight="1" thickBot="1">
      <c r="A51" s="3229" t="s">
        <v>296</v>
      </c>
      <c r="B51" s="3230" t="s">
        <v>2930</v>
      </c>
      <c r="C51" s="3229">
        <v>23000</v>
      </c>
      <c r="D51" s="3229">
        <v>23460</v>
      </c>
      <c r="E51" s="3229">
        <v>25290</v>
      </c>
      <c r="F51" s="3229"/>
      <c r="G51" s="3242">
        <v>16420</v>
      </c>
      <c r="N51" s="3229" t="s">
        <v>3054</v>
      </c>
      <c r="Q51" s="3236" t="s">
        <v>3055</v>
      </c>
    </row>
    <row r="52" spans="1:17" ht="14.25" customHeight="1">
      <c r="A52" s="3229" t="s">
        <v>296</v>
      </c>
      <c r="B52" s="3230" t="s">
        <v>2934</v>
      </c>
      <c r="C52" s="3229">
        <v>26660</v>
      </c>
      <c r="D52" s="3229">
        <v>22350</v>
      </c>
      <c r="E52" s="3229">
        <v>22920</v>
      </c>
      <c r="F52" s="3229"/>
      <c r="G52" s="3242">
        <v>15640</v>
      </c>
      <c r="N52" s="3229" t="s">
        <v>3056</v>
      </c>
    </row>
    <row r="53" spans="1:17" ht="14.25" customHeight="1">
      <c r="A53" s="3229" t="s">
        <v>296</v>
      </c>
      <c r="B53" s="3230" t="s">
        <v>2939</v>
      </c>
      <c r="C53" s="3229">
        <v>23580</v>
      </c>
      <c r="D53" s="3229"/>
      <c r="E53" s="3229">
        <v>24280</v>
      </c>
      <c r="F53" s="3229"/>
      <c r="G53" s="3242"/>
      <c r="N53" s="3229" t="s">
        <v>3057</v>
      </c>
    </row>
    <row r="54" spans="1:17" ht="14.25" customHeight="1" thickBot="1">
      <c r="A54" s="3243" t="s">
        <v>296</v>
      </c>
      <c r="B54" s="3235" t="s">
        <v>2942</v>
      </c>
      <c r="C54" s="3236">
        <v>22460</v>
      </c>
      <c r="D54" s="3236"/>
      <c r="E54" s="3236"/>
      <c r="F54" s="3236"/>
      <c r="G54" s="3244"/>
      <c r="N54" s="3229" t="s">
        <v>3058</v>
      </c>
    </row>
    <row r="55" spans="1:17" ht="14.25" customHeight="1">
      <c r="A55" s="3234" t="s">
        <v>110</v>
      </c>
      <c r="B55" s="3225" t="s">
        <v>3059</v>
      </c>
      <c r="C55" s="3229">
        <v>21970</v>
      </c>
      <c r="D55" s="3229">
        <v>20370</v>
      </c>
      <c r="E55" s="3229">
        <v>20180</v>
      </c>
      <c r="F55" s="3229">
        <v>5730</v>
      </c>
      <c r="G55" s="3229">
        <v>13820</v>
      </c>
      <c r="N55" s="3229" t="s">
        <v>3060</v>
      </c>
    </row>
    <row r="56" spans="1:17" ht="14.25" customHeight="1">
      <c r="A56" s="3229" t="s">
        <v>110</v>
      </c>
      <c r="B56" s="3229" t="s">
        <v>130</v>
      </c>
      <c r="C56" s="3229">
        <v>20470</v>
      </c>
      <c r="D56" s="3229">
        <v>20700</v>
      </c>
      <c r="E56" s="3229">
        <v>20380</v>
      </c>
      <c r="F56" s="3229">
        <v>4760</v>
      </c>
      <c r="G56" s="3229">
        <v>14050</v>
      </c>
      <c r="N56" s="3229" t="s">
        <v>3061</v>
      </c>
    </row>
    <row r="57" spans="1:17" ht="14.25" customHeight="1">
      <c r="A57" s="3229" t="s">
        <v>110</v>
      </c>
      <c r="B57" s="3229" t="s">
        <v>139</v>
      </c>
      <c r="C57" s="3229">
        <v>20790</v>
      </c>
      <c r="D57" s="3229">
        <v>21370</v>
      </c>
      <c r="E57" s="3229">
        <v>20890</v>
      </c>
      <c r="F57" s="3229">
        <v>4910</v>
      </c>
      <c r="G57" s="3229">
        <v>14510</v>
      </c>
      <c r="N57" s="3229" t="s">
        <v>3062</v>
      </c>
    </row>
    <row r="58" spans="1:17" ht="14.25" customHeight="1">
      <c r="A58" s="3229" t="s">
        <v>110</v>
      </c>
      <c r="B58" s="3229" t="s">
        <v>148</v>
      </c>
      <c r="C58" s="3229">
        <v>21460</v>
      </c>
      <c r="D58" s="3229">
        <v>20920</v>
      </c>
      <c r="E58" s="3229">
        <v>23410</v>
      </c>
      <c r="F58" s="3229">
        <v>5100</v>
      </c>
      <c r="G58" s="3229">
        <v>14200</v>
      </c>
      <c r="N58" s="3229" t="s">
        <v>3063</v>
      </c>
    </row>
    <row r="59" spans="1:17" ht="14.25" customHeight="1">
      <c r="A59" s="3229" t="s">
        <v>110</v>
      </c>
      <c r="B59" s="3229" t="s">
        <v>157</v>
      </c>
      <c r="C59" s="3229">
        <v>21000</v>
      </c>
      <c r="D59" s="3229">
        <v>21550</v>
      </c>
      <c r="E59" s="3229">
        <v>21150</v>
      </c>
      <c r="F59" s="3229">
        <v>5250</v>
      </c>
      <c r="G59" s="3229">
        <v>14630</v>
      </c>
      <c r="N59" s="3229" t="s">
        <v>3064</v>
      </c>
    </row>
    <row r="60" spans="1:17" ht="14.25" customHeight="1">
      <c r="A60" s="3229" t="s">
        <v>110</v>
      </c>
      <c r="B60" s="3229" t="s">
        <v>164</v>
      </c>
      <c r="C60" s="3229">
        <v>21640</v>
      </c>
      <c r="D60" s="3229">
        <v>21260</v>
      </c>
      <c r="E60" s="3229">
        <v>24040</v>
      </c>
      <c r="F60" s="3229">
        <v>4470</v>
      </c>
      <c r="G60" s="3229">
        <v>14430</v>
      </c>
      <c r="N60" s="3229" t="s">
        <v>3065</v>
      </c>
    </row>
    <row r="61" spans="1:17" ht="14.25" customHeight="1">
      <c r="A61" s="3229" t="s">
        <v>110</v>
      </c>
      <c r="B61" s="3229" t="s">
        <v>170</v>
      </c>
      <c r="C61" s="3229">
        <v>21330</v>
      </c>
      <c r="D61" s="3229">
        <v>18640</v>
      </c>
      <c r="E61" s="3229">
        <v>21190</v>
      </c>
      <c r="F61" s="3229">
        <v>4180</v>
      </c>
      <c r="G61" s="3229">
        <v>12650</v>
      </c>
      <c r="N61" s="3229" t="s">
        <v>3066</v>
      </c>
    </row>
    <row r="62" spans="1:17" ht="14.25" customHeight="1">
      <c r="A62" s="3229" t="s">
        <v>110</v>
      </c>
      <c r="B62" s="3229" t="s">
        <v>177</v>
      </c>
      <c r="C62" s="3229">
        <v>18710</v>
      </c>
      <c r="D62" s="3229">
        <v>19400</v>
      </c>
      <c r="E62" s="3229">
        <v>23750</v>
      </c>
      <c r="F62" s="3229">
        <v>4860</v>
      </c>
      <c r="G62" s="3229">
        <v>13170</v>
      </c>
      <c r="N62" s="3229" t="s">
        <v>3067</v>
      </c>
    </row>
    <row r="63" spans="1:17" ht="14.25" customHeight="1">
      <c r="A63" s="3229" t="s">
        <v>110</v>
      </c>
      <c r="B63" s="3229" t="s">
        <v>187</v>
      </c>
      <c r="C63" s="3229">
        <v>19480</v>
      </c>
      <c r="D63" s="3229">
        <v>16830</v>
      </c>
      <c r="E63" s="3229">
        <v>21590</v>
      </c>
      <c r="F63" s="3229">
        <v>4560</v>
      </c>
      <c r="G63" s="3229">
        <v>11420</v>
      </c>
      <c r="N63" s="3229" t="s">
        <v>3068</v>
      </c>
    </row>
    <row r="64" spans="1:17" ht="14.25" customHeight="1" thickBot="1">
      <c r="A64" s="3229" t="s">
        <v>110</v>
      </c>
      <c r="B64" s="3229" t="s">
        <v>196</v>
      </c>
      <c r="C64" s="3229">
        <v>16920</v>
      </c>
      <c r="D64" s="3229">
        <v>19190</v>
      </c>
      <c r="E64" s="3229">
        <v>22200</v>
      </c>
      <c r="F64" s="3229">
        <v>4390</v>
      </c>
      <c r="G64" s="3229">
        <v>13030</v>
      </c>
      <c r="N64" s="3236" t="s">
        <v>3069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2940</v>
      </c>
      <c r="C78" s="3229">
        <v>19820</v>
      </c>
      <c r="D78" s="3229">
        <v>19780</v>
      </c>
      <c r="E78" s="3229">
        <v>18560</v>
      </c>
      <c r="F78" s="3229"/>
      <c r="G78" s="3229">
        <v>13430</v>
      </c>
    </row>
    <row r="79" spans="1:7" s="3218" customFormat="1" ht="14.25" customHeight="1">
      <c r="A79" s="3229" t="s">
        <v>110</v>
      </c>
      <c r="B79" s="3229" t="s">
        <v>2943</v>
      </c>
      <c r="C79" s="3229">
        <v>21660</v>
      </c>
      <c r="D79" s="3229">
        <v>18000</v>
      </c>
      <c r="E79" s="3229">
        <v>22570</v>
      </c>
      <c r="F79" s="3229"/>
      <c r="G79" s="3229">
        <v>12220</v>
      </c>
    </row>
    <row r="80" spans="1:7" s="3218" customFormat="1" ht="14.25" customHeight="1">
      <c r="A80" s="3229" t="s">
        <v>110</v>
      </c>
      <c r="B80" s="3229" t="s">
        <v>2947</v>
      </c>
      <c r="C80" s="3229">
        <v>19850</v>
      </c>
      <c r="D80" s="3229"/>
      <c r="E80" s="3229">
        <v>21700</v>
      </c>
      <c r="F80" s="3229"/>
      <c r="G80" s="3229"/>
    </row>
    <row r="81" spans="1:7" s="3218" customFormat="1" ht="14.25" customHeight="1">
      <c r="A81" s="3229" t="s">
        <v>110</v>
      </c>
      <c r="B81" s="3229" t="s">
        <v>2952</v>
      </c>
      <c r="C81" s="3229">
        <v>18080</v>
      </c>
      <c r="D81" s="3229"/>
      <c r="E81" s="3229">
        <v>20900</v>
      </c>
      <c r="F81" s="3229"/>
      <c r="G81" s="3229"/>
    </row>
    <row r="82" spans="1:7" s="3218" customFormat="1" ht="14.25" customHeight="1">
      <c r="A82" s="3229" t="s">
        <v>110</v>
      </c>
      <c r="B82" s="3229" t="s">
        <v>2959</v>
      </c>
      <c r="C82" s="3229"/>
      <c r="D82" s="3229"/>
      <c r="E82" s="3229">
        <v>20840</v>
      </c>
      <c r="F82" s="3229"/>
      <c r="G82" s="3229"/>
    </row>
    <row r="83" spans="1:7" s="3218" customFormat="1" ht="14.25" customHeight="1">
      <c r="A83" s="3229" t="s">
        <v>110</v>
      </c>
      <c r="B83" s="3229" t="s">
        <v>3070</v>
      </c>
      <c r="C83" s="3229"/>
      <c r="D83" s="3229"/>
      <c r="E83" s="3229"/>
      <c r="F83" s="3229">
        <v>4770</v>
      </c>
      <c r="G83" s="3229"/>
    </row>
    <row r="84" spans="1:7" s="3218" customFormat="1" ht="14.25" customHeight="1">
      <c r="A84" s="3229" t="s">
        <v>110</v>
      </c>
      <c r="B84" s="3229" t="s">
        <v>3071</v>
      </c>
      <c r="C84" s="3229"/>
      <c r="D84" s="3229"/>
      <c r="E84" s="3229"/>
      <c r="F84" s="3229">
        <v>4600</v>
      </c>
      <c r="G84" s="3229"/>
    </row>
    <row r="85" spans="1:7" s="3218" customFormat="1" ht="14.25" customHeight="1">
      <c r="A85" s="3229" t="s">
        <v>110</v>
      </c>
      <c r="B85" s="3229" t="s">
        <v>3072</v>
      </c>
      <c r="C85" s="3229"/>
      <c r="D85" s="3229"/>
      <c r="E85" s="3229"/>
      <c r="F85" s="3229">
        <v>4680</v>
      </c>
      <c r="G85" s="3229"/>
    </row>
    <row r="86" spans="1:7" s="3218" customFormat="1" ht="14.25" customHeight="1" thickBot="1">
      <c r="A86" s="3237" t="s">
        <v>110</v>
      </c>
      <c r="B86" s="3239" t="s">
        <v>3073</v>
      </c>
      <c r="C86" s="3240">
        <v>16610</v>
      </c>
      <c r="D86" s="3240">
        <v>16540</v>
      </c>
      <c r="E86" s="3240">
        <v>18850</v>
      </c>
      <c r="F86" s="3240"/>
      <c r="G86" s="3240">
        <v>11220</v>
      </c>
    </row>
    <row r="87" spans="1:7" s="3218" customFormat="1" ht="14.25" customHeight="1">
      <c r="A87" s="3234" t="s">
        <v>303</v>
      </c>
      <c r="B87" s="3225" t="s">
        <v>3074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2953</v>
      </c>
      <c r="C113" s="3229">
        <v>15520</v>
      </c>
      <c r="D113" s="3229">
        <v>15450</v>
      </c>
      <c r="E113" s="3229"/>
      <c r="F113" s="3229"/>
      <c r="G113" s="3242">
        <v>10210</v>
      </c>
    </row>
    <row r="114" spans="1:7" s="3218" customFormat="1" ht="14.25" customHeight="1">
      <c r="A114" s="3229" t="s">
        <v>303</v>
      </c>
      <c r="B114" s="3229" t="s">
        <v>2960</v>
      </c>
      <c r="C114" s="3229">
        <v>13110</v>
      </c>
      <c r="D114" s="3229">
        <v>13050</v>
      </c>
      <c r="E114" s="3229"/>
      <c r="F114" s="3229"/>
      <c r="G114" s="3242">
        <v>8620</v>
      </c>
    </row>
    <row r="115" spans="1:7" s="3218" customFormat="1" ht="14.25" customHeight="1">
      <c r="A115" s="3229" t="s">
        <v>303</v>
      </c>
      <c r="B115" s="3229" t="s">
        <v>2966</v>
      </c>
      <c r="C115" s="3229">
        <v>12460</v>
      </c>
      <c r="D115" s="3229">
        <v>12390</v>
      </c>
      <c r="E115" s="3229"/>
      <c r="F115" s="3229"/>
      <c r="G115" s="3242">
        <v>8190</v>
      </c>
    </row>
    <row r="116" spans="1:7" s="3218" customFormat="1" ht="14.25" customHeight="1">
      <c r="A116" s="3229" t="s">
        <v>303</v>
      </c>
      <c r="B116" s="3229" t="s">
        <v>2973</v>
      </c>
      <c r="C116" s="3229">
        <v>13580</v>
      </c>
      <c r="D116" s="3229">
        <v>13520</v>
      </c>
      <c r="E116" s="3229"/>
      <c r="F116" s="3229"/>
      <c r="G116" s="3242">
        <v>8930</v>
      </c>
    </row>
    <row r="117" spans="1:7" s="3218" customFormat="1" ht="14.25" customHeight="1">
      <c r="A117" s="3229" t="s">
        <v>303</v>
      </c>
      <c r="B117" s="3229" t="s">
        <v>2980</v>
      </c>
      <c r="C117" s="3229">
        <v>17120</v>
      </c>
      <c r="D117" s="3229">
        <v>17040</v>
      </c>
      <c r="E117" s="3229"/>
      <c r="F117" s="3229"/>
      <c r="G117" s="3242">
        <v>11260</v>
      </c>
    </row>
    <row r="118" spans="1:7" s="3218" customFormat="1" ht="14.25" customHeight="1">
      <c r="A118" s="3229" t="s">
        <v>303</v>
      </c>
      <c r="B118" s="3229" t="s">
        <v>2985</v>
      </c>
      <c r="C118" s="3229">
        <v>14860</v>
      </c>
      <c r="D118" s="3229">
        <v>14790</v>
      </c>
      <c r="E118" s="3229"/>
      <c r="F118" s="3229"/>
      <c r="G118" s="3242">
        <v>9780</v>
      </c>
    </row>
    <row r="119" spans="1:7" s="3218" customFormat="1" ht="14.25" customHeight="1">
      <c r="A119" s="3229" t="s">
        <v>303</v>
      </c>
      <c r="B119" s="3229" t="s">
        <v>2989</v>
      </c>
      <c r="C119" s="3229">
        <v>16470</v>
      </c>
      <c r="D119" s="3229">
        <v>16400</v>
      </c>
      <c r="E119" s="3229"/>
      <c r="F119" s="3229"/>
      <c r="G119" s="3242">
        <v>10840</v>
      </c>
    </row>
    <row r="120" spans="1:7" s="3218" customFormat="1" ht="14.25" customHeight="1">
      <c r="A120" s="3229" t="s">
        <v>303</v>
      </c>
      <c r="B120" s="3229" t="s">
        <v>3075</v>
      </c>
      <c r="C120" s="3229"/>
      <c r="D120" s="3229"/>
      <c r="E120" s="3229"/>
      <c r="F120" s="3229">
        <v>4160</v>
      </c>
      <c r="G120" s="3242"/>
    </row>
    <row r="121" spans="1:7" s="3218" customFormat="1" ht="14.25" customHeight="1">
      <c r="A121" s="3229" t="s">
        <v>303</v>
      </c>
      <c r="B121" s="3229" t="s">
        <v>3076</v>
      </c>
      <c r="C121" s="3229"/>
      <c r="D121" s="3229"/>
      <c r="E121" s="3229"/>
      <c r="F121" s="3229">
        <v>3880</v>
      </c>
      <c r="G121" s="3242"/>
    </row>
    <row r="122" spans="1:7" s="3218" customFormat="1" ht="14.25" customHeight="1">
      <c r="A122" s="3229" t="s">
        <v>303</v>
      </c>
      <c r="B122" s="3229" t="s">
        <v>3077</v>
      </c>
      <c r="C122" s="3229">
        <v>13750</v>
      </c>
      <c r="D122" s="3229">
        <v>13680</v>
      </c>
      <c r="E122" s="3229">
        <v>16460</v>
      </c>
      <c r="F122" s="3229">
        <v>2880</v>
      </c>
      <c r="G122" s="3242">
        <v>9040</v>
      </c>
    </row>
    <row r="123" spans="1:7" s="3218" customFormat="1" ht="14.25" customHeight="1">
      <c r="A123" s="3229" t="s">
        <v>303</v>
      </c>
      <c r="B123" s="3229" t="s">
        <v>3008</v>
      </c>
      <c r="C123" s="3229">
        <v>13590</v>
      </c>
      <c r="D123" s="3229">
        <v>13520</v>
      </c>
      <c r="E123" s="3229">
        <v>16290</v>
      </c>
      <c r="F123" s="3229">
        <v>2790</v>
      </c>
      <c r="G123" s="3242">
        <v>8930</v>
      </c>
    </row>
    <row r="124" spans="1:7" s="3218" customFormat="1" ht="14.25" customHeight="1">
      <c r="A124" s="3229" t="s">
        <v>303</v>
      </c>
      <c r="B124" s="3229" t="s">
        <v>3013</v>
      </c>
      <c r="C124" s="3229">
        <v>13400</v>
      </c>
      <c r="D124" s="3229">
        <v>13320</v>
      </c>
      <c r="E124" s="3229">
        <v>16100</v>
      </c>
      <c r="F124" s="3229">
        <v>2320</v>
      </c>
      <c r="G124" s="3242">
        <v>8800</v>
      </c>
    </row>
    <row r="125" spans="1:7" s="3218" customFormat="1" ht="14.25" customHeight="1">
      <c r="A125" s="3229" t="s">
        <v>303</v>
      </c>
      <c r="B125" s="3229" t="s">
        <v>3018</v>
      </c>
      <c r="C125" s="3229">
        <v>12860</v>
      </c>
      <c r="D125" s="3229">
        <v>12790</v>
      </c>
      <c r="E125" s="3229">
        <v>15370</v>
      </c>
      <c r="F125" s="3229">
        <v>2280</v>
      </c>
      <c r="G125" s="3242">
        <v>8450</v>
      </c>
    </row>
    <row r="126" spans="1:7" s="3218" customFormat="1" ht="14.25" customHeight="1" thickBot="1">
      <c r="A126" s="3243" t="s">
        <v>303</v>
      </c>
      <c r="B126" s="3236" t="s">
        <v>3023</v>
      </c>
      <c r="C126" s="3236">
        <v>12960</v>
      </c>
      <c r="D126" s="3236">
        <v>12890</v>
      </c>
      <c r="E126" s="3236">
        <v>15530</v>
      </c>
      <c r="F126" s="3236">
        <v>2910</v>
      </c>
      <c r="G126" s="3244">
        <v>8520</v>
      </c>
    </row>
    <row r="127" spans="1:7" s="3218" customFormat="1" ht="14.25" customHeight="1">
      <c r="A127" s="3234" t="s">
        <v>29</v>
      </c>
      <c r="B127" s="3225" t="s">
        <v>3078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3079</v>
      </c>
      <c r="C148" s="3229">
        <v>10370</v>
      </c>
      <c r="D148" s="3229">
        <v>10310</v>
      </c>
      <c r="E148" s="3229">
        <v>12970</v>
      </c>
      <c r="F148" s="3229"/>
      <c r="G148" s="3229">
        <v>6630</v>
      </c>
    </row>
    <row r="149" spans="1:7" s="3218" customFormat="1" ht="14.25" customHeight="1">
      <c r="A149" s="3229" t="s">
        <v>29</v>
      </c>
      <c r="B149" s="3229" t="s">
        <v>3080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2954</v>
      </c>
      <c r="C153" s="3229">
        <v>10880</v>
      </c>
      <c r="D153" s="3229">
        <v>10820</v>
      </c>
      <c r="E153" s="3229">
        <v>13660</v>
      </c>
      <c r="F153" s="3229">
        <v>2260</v>
      </c>
      <c r="G153" s="3229">
        <v>6970</v>
      </c>
    </row>
    <row r="154" spans="1:7" s="3218" customFormat="1" ht="14.25" customHeight="1">
      <c r="A154" s="3229" t="s">
        <v>29</v>
      </c>
      <c r="B154" s="3229" t="s">
        <v>3081</v>
      </c>
      <c r="C154" s="3229">
        <v>11220</v>
      </c>
      <c r="D154" s="3229">
        <v>11160</v>
      </c>
      <c r="E154" s="3229">
        <v>14130</v>
      </c>
      <c r="F154" s="3229">
        <v>2230</v>
      </c>
      <c r="G154" s="3229">
        <v>7180</v>
      </c>
    </row>
    <row r="155" spans="1:7" s="3218" customFormat="1" ht="14.25" customHeight="1">
      <c r="A155" s="3229" t="s">
        <v>29</v>
      </c>
      <c r="B155" s="3229" t="s">
        <v>2967</v>
      </c>
      <c r="C155" s="3229">
        <v>10430</v>
      </c>
      <c r="D155" s="3229">
        <v>10380</v>
      </c>
      <c r="E155" s="3229">
        <v>13140</v>
      </c>
      <c r="F155" s="3229">
        <v>2080</v>
      </c>
      <c r="G155" s="3229">
        <v>6650</v>
      </c>
    </row>
    <row r="156" spans="1:7" s="3218" customFormat="1" ht="14.25" customHeight="1">
      <c r="A156" s="3229" t="s">
        <v>29</v>
      </c>
      <c r="B156" s="3229" t="s">
        <v>3082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3083</v>
      </c>
      <c r="C160" s="3229">
        <v>11180</v>
      </c>
      <c r="D160" s="3229">
        <v>11140</v>
      </c>
      <c r="E160" s="3229">
        <v>14050</v>
      </c>
      <c r="F160" s="3229">
        <v>2270</v>
      </c>
      <c r="G160" s="3229">
        <v>7170</v>
      </c>
    </row>
    <row r="161" spans="1:7" s="3218" customFormat="1" ht="14.25" customHeight="1">
      <c r="A161" s="3229" t="s">
        <v>29</v>
      </c>
      <c r="B161" s="3229" t="s">
        <v>2999</v>
      </c>
      <c r="C161" s="3229">
        <v>11160</v>
      </c>
      <c r="D161" s="3229">
        <v>11120</v>
      </c>
      <c r="E161" s="3229">
        <v>14020</v>
      </c>
      <c r="F161" s="3229">
        <v>2150</v>
      </c>
      <c r="G161" s="3229">
        <v>7160</v>
      </c>
    </row>
    <row r="162" spans="1:7" s="3218" customFormat="1" ht="14.25" customHeight="1">
      <c r="A162" s="3229" t="s">
        <v>29</v>
      </c>
      <c r="B162" s="3229" t="s">
        <v>3004</v>
      </c>
      <c r="C162" s="3229">
        <v>9620</v>
      </c>
      <c r="D162" s="3229">
        <v>9570</v>
      </c>
      <c r="E162" s="3229">
        <v>12320</v>
      </c>
      <c r="F162" s="3229">
        <v>2010</v>
      </c>
      <c r="G162" s="3229">
        <v>6160</v>
      </c>
    </row>
    <row r="163" spans="1:7" s="3218" customFormat="1" ht="14.25" customHeight="1">
      <c r="A163" s="3229" t="s">
        <v>29</v>
      </c>
      <c r="B163" s="3229" t="s">
        <v>3009</v>
      </c>
      <c r="C163" s="3229">
        <v>9320</v>
      </c>
      <c r="D163" s="3229">
        <v>9270</v>
      </c>
      <c r="E163" s="3229">
        <v>11790</v>
      </c>
      <c r="F163" s="3229">
        <v>1920</v>
      </c>
      <c r="G163" s="3229">
        <v>5960</v>
      </c>
    </row>
    <row r="164" spans="1:7" s="3218" customFormat="1" ht="14.25" customHeight="1">
      <c r="A164" s="3229" t="s">
        <v>29</v>
      </c>
      <c r="B164" s="3229" t="s">
        <v>3014</v>
      </c>
      <c r="C164" s="3229"/>
      <c r="D164" s="3229"/>
      <c r="E164" s="3229"/>
      <c r="F164" s="3229">
        <v>1980</v>
      </c>
      <c r="G164" s="3229"/>
    </row>
    <row r="165" spans="1:7" s="3218" customFormat="1" ht="14.25" customHeight="1">
      <c r="A165" s="3229" t="s">
        <v>29</v>
      </c>
      <c r="B165" s="3229" t="s">
        <v>3084</v>
      </c>
      <c r="C165" s="3229">
        <v>11060</v>
      </c>
      <c r="D165" s="3229">
        <v>11030</v>
      </c>
      <c r="E165" s="3229">
        <v>13850</v>
      </c>
      <c r="F165" s="3229">
        <v>2170</v>
      </c>
      <c r="G165" s="3229">
        <v>7090</v>
      </c>
    </row>
    <row r="166" spans="1:7" s="3218" customFormat="1" ht="14.25" customHeight="1">
      <c r="A166" s="3229" t="s">
        <v>29</v>
      </c>
      <c r="B166" s="3229" t="s">
        <v>3024</v>
      </c>
      <c r="C166" s="3229">
        <v>11050</v>
      </c>
      <c r="D166" s="3229">
        <v>11010</v>
      </c>
      <c r="E166" s="3229">
        <v>13920</v>
      </c>
      <c r="F166" s="3229">
        <v>2140</v>
      </c>
      <c r="G166" s="3229">
        <v>7080</v>
      </c>
    </row>
    <row r="167" spans="1:7" s="3218" customFormat="1" ht="14.25" customHeight="1">
      <c r="A167" s="3229" t="s">
        <v>29</v>
      </c>
      <c r="B167" s="3229" t="s">
        <v>3028</v>
      </c>
      <c r="C167" s="3229">
        <v>10930</v>
      </c>
      <c r="D167" s="3229">
        <v>10890</v>
      </c>
      <c r="E167" s="3229">
        <v>13790</v>
      </c>
      <c r="F167" s="3229">
        <v>2010</v>
      </c>
      <c r="G167" s="3229">
        <v>7000</v>
      </c>
    </row>
    <row r="168" spans="1:7" s="3218" customFormat="1" ht="14.25" customHeight="1">
      <c r="A168" s="3229" t="s">
        <v>29</v>
      </c>
      <c r="B168" s="3229" t="s">
        <v>3033</v>
      </c>
      <c r="C168" s="3229">
        <v>9420</v>
      </c>
      <c r="D168" s="3229">
        <v>9380</v>
      </c>
      <c r="E168" s="3229">
        <v>11970</v>
      </c>
      <c r="F168" s="3229"/>
      <c r="G168" s="3229">
        <v>6040</v>
      </c>
    </row>
    <row r="169" spans="1:7" s="3218" customFormat="1" ht="14.25" customHeight="1">
      <c r="A169" s="3229" t="s">
        <v>29</v>
      </c>
      <c r="B169" s="3229" t="s">
        <v>3085</v>
      </c>
      <c r="C169" s="3229"/>
      <c r="D169" s="3229"/>
      <c r="E169" s="3229"/>
      <c r="F169" s="3229">
        <v>2880</v>
      </c>
      <c r="G169" s="3229"/>
    </row>
    <row r="170" spans="1:7" s="3218" customFormat="1" ht="14.25" customHeight="1">
      <c r="A170" s="3229" t="s">
        <v>29</v>
      </c>
      <c r="B170" s="3229" t="s">
        <v>3041</v>
      </c>
      <c r="C170" s="3229"/>
      <c r="D170" s="3229"/>
      <c r="E170" s="3229"/>
      <c r="F170" s="3229">
        <v>2880</v>
      </c>
      <c r="G170" s="3229"/>
    </row>
    <row r="171" spans="1:7" s="3218" customFormat="1" ht="14.25" customHeight="1">
      <c r="A171" s="3229" t="s">
        <v>29</v>
      </c>
      <c r="B171" s="3229" t="s">
        <v>3044</v>
      </c>
      <c r="C171" s="3229"/>
      <c r="D171" s="3229"/>
      <c r="E171" s="3229"/>
      <c r="F171" s="3229">
        <v>2880</v>
      </c>
      <c r="G171" s="3229"/>
    </row>
    <row r="172" spans="1:7" s="3218" customFormat="1" ht="14.25" customHeight="1">
      <c r="A172" s="3229" t="s">
        <v>29</v>
      </c>
      <c r="B172" s="3229" t="s">
        <v>3046</v>
      </c>
      <c r="C172" s="3229"/>
      <c r="D172" s="3229"/>
      <c r="E172" s="3229"/>
      <c r="F172" s="3229">
        <v>2880</v>
      </c>
      <c r="G172" s="3229"/>
    </row>
    <row r="173" spans="1:7" s="3218" customFormat="1" ht="14.25" customHeight="1">
      <c r="A173" s="3229" t="s">
        <v>29</v>
      </c>
      <c r="B173" s="3229" t="s">
        <v>3048</v>
      </c>
      <c r="C173" s="3229"/>
      <c r="D173" s="3229"/>
      <c r="E173" s="3229"/>
      <c r="F173" s="3229">
        <v>2150</v>
      </c>
      <c r="G173" s="3229"/>
    </row>
    <row r="174" spans="1:7" s="3218" customFormat="1" ht="14.25" customHeight="1">
      <c r="A174" s="3229" t="s">
        <v>29</v>
      </c>
      <c r="B174" s="3229" t="s">
        <v>3050</v>
      </c>
      <c r="C174" s="3229"/>
      <c r="D174" s="3229"/>
      <c r="E174" s="3229"/>
      <c r="F174" s="3229">
        <v>2030</v>
      </c>
      <c r="G174" s="3229"/>
    </row>
    <row r="175" spans="1:7" s="3218" customFormat="1" ht="14.25" customHeight="1">
      <c r="A175" s="3229" t="s">
        <v>29</v>
      </c>
      <c r="B175" s="3229" t="s">
        <v>3052</v>
      </c>
      <c r="C175" s="3229"/>
      <c r="D175" s="3229"/>
      <c r="E175" s="3229"/>
      <c r="F175" s="3229">
        <v>2780</v>
      </c>
      <c r="G175" s="3229"/>
    </row>
    <row r="176" spans="1:7" s="3218" customFormat="1" ht="14.25" customHeight="1">
      <c r="A176" s="3229" t="s">
        <v>29</v>
      </c>
      <c r="B176" s="3229" t="s">
        <v>3054</v>
      </c>
      <c r="C176" s="3229"/>
      <c r="D176" s="3229"/>
      <c r="E176" s="3229"/>
      <c r="F176" s="3229">
        <v>2780</v>
      </c>
      <c r="G176" s="3229"/>
    </row>
    <row r="177" spans="1:7" s="3218" customFormat="1" ht="14.25" customHeight="1">
      <c r="A177" s="3229" t="s">
        <v>29</v>
      </c>
      <c r="B177" s="3229" t="s">
        <v>3086</v>
      </c>
      <c r="C177" s="3229"/>
      <c r="D177" s="3229"/>
      <c r="E177" s="3229"/>
      <c r="F177" s="3229">
        <v>2780</v>
      </c>
      <c r="G177" s="3229"/>
    </row>
    <row r="178" spans="1:7" s="3218" customFormat="1" ht="14.25" customHeight="1">
      <c r="A178" s="3229" t="s">
        <v>29</v>
      </c>
      <c r="B178" s="3229" t="s">
        <v>3087</v>
      </c>
      <c r="C178" s="3229"/>
      <c r="D178" s="3229"/>
      <c r="E178" s="3229"/>
      <c r="F178" s="3229">
        <v>2060</v>
      </c>
      <c r="G178" s="3229"/>
    </row>
    <row r="179" spans="1:7" s="3218" customFormat="1" ht="14.25" customHeight="1">
      <c r="A179" s="3229" t="s">
        <v>29</v>
      </c>
      <c r="B179" s="3229" t="s">
        <v>3088</v>
      </c>
      <c r="C179" s="3229"/>
      <c r="D179" s="3229"/>
      <c r="E179" s="3229"/>
      <c r="F179" s="3229">
        <v>2120</v>
      </c>
      <c r="G179" s="3229"/>
    </row>
    <row r="180" spans="1:7" s="3218" customFormat="1" ht="14.25" customHeight="1">
      <c r="A180" s="3229" t="s">
        <v>29</v>
      </c>
      <c r="B180" s="3229" t="s">
        <v>3060</v>
      </c>
      <c r="C180" s="3229"/>
      <c r="D180" s="3229"/>
      <c r="E180" s="3229"/>
      <c r="F180" s="3229">
        <v>2340</v>
      </c>
      <c r="G180" s="3229"/>
    </row>
    <row r="181" spans="1:7" s="3218" customFormat="1" ht="14.25" customHeight="1">
      <c r="A181" s="3229" t="s">
        <v>29</v>
      </c>
      <c r="B181" s="3229" t="s">
        <v>3061</v>
      </c>
      <c r="C181" s="3229"/>
      <c r="D181" s="3229"/>
      <c r="E181" s="3229"/>
      <c r="F181" s="3229">
        <v>2340</v>
      </c>
      <c r="G181" s="3229"/>
    </row>
    <row r="182" spans="1:7" s="3218" customFormat="1" ht="14.25" customHeight="1">
      <c r="A182" s="3229" t="s">
        <v>29</v>
      </c>
      <c r="B182" s="3229" t="s">
        <v>3062</v>
      </c>
      <c r="C182" s="3229"/>
      <c r="D182" s="3229"/>
      <c r="E182" s="3229"/>
      <c r="F182" s="3229">
        <v>2340</v>
      </c>
      <c r="G182" s="3229"/>
    </row>
    <row r="183" spans="1:7" s="3218" customFormat="1" ht="14.25" customHeight="1">
      <c r="A183" s="3229" t="s">
        <v>29</v>
      </c>
      <c r="B183" s="3229" t="s">
        <v>3063</v>
      </c>
      <c r="C183" s="3229"/>
      <c r="D183" s="3229"/>
      <c r="E183" s="3229"/>
      <c r="F183" s="3229">
        <v>2340</v>
      </c>
      <c r="G183" s="3229"/>
    </row>
    <row r="184" spans="1:7" s="3218" customFormat="1" ht="14.25" customHeight="1">
      <c r="A184" s="3229" t="s">
        <v>29</v>
      </c>
      <c r="B184" s="3229" t="s">
        <v>3064</v>
      </c>
      <c r="C184" s="3229"/>
      <c r="D184" s="3229"/>
      <c r="E184" s="3229"/>
      <c r="F184" s="3229">
        <v>2340</v>
      </c>
      <c r="G184" s="3229"/>
    </row>
    <row r="185" spans="1:7" s="3218" customFormat="1" ht="14.25" customHeight="1">
      <c r="A185" s="3229" t="s">
        <v>29</v>
      </c>
      <c r="B185" s="3229" t="s">
        <v>3065</v>
      </c>
      <c r="C185" s="3229"/>
      <c r="D185" s="3229"/>
      <c r="E185" s="3229"/>
      <c r="F185" s="3229">
        <v>2530</v>
      </c>
      <c r="G185" s="3229"/>
    </row>
    <row r="186" spans="1:7" s="3218" customFormat="1" ht="14.25" customHeight="1">
      <c r="A186" s="3229" t="s">
        <v>29</v>
      </c>
      <c r="B186" s="3229" t="s">
        <v>3066</v>
      </c>
      <c r="C186" s="3229"/>
      <c r="D186" s="3229"/>
      <c r="E186" s="3229"/>
      <c r="F186" s="3229">
        <v>2550</v>
      </c>
      <c r="G186" s="3229"/>
    </row>
    <row r="187" spans="1:7" s="3218" customFormat="1" ht="14.25" customHeight="1">
      <c r="A187" s="3229" t="s">
        <v>29</v>
      </c>
      <c r="B187" s="3229" t="s">
        <v>3067</v>
      </c>
      <c r="C187" s="3229"/>
      <c r="D187" s="3229"/>
      <c r="E187" s="3229"/>
      <c r="F187" s="3229">
        <v>2070</v>
      </c>
      <c r="G187" s="3229"/>
    </row>
    <row r="188" spans="1:7" s="3218" customFormat="1" ht="14.25" customHeight="1">
      <c r="A188" s="3229" t="s">
        <v>29</v>
      </c>
      <c r="B188" s="3229" t="s">
        <v>3068</v>
      </c>
      <c r="C188" s="3229"/>
      <c r="D188" s="3229"/>
      <c r="E188" s="3229"/>
      <c r="F188" s="3229">
        <v>2340</v>
      </c>
      <c r="G188" s="3229"/>
    </row>
    <row r="189" spans="1:7" s="3218" customFormat="1" ht="14.25" customHeight="1" thickBot="1">
      <c r="A189" s="3237" t="s">
        <v>29</v>
      </c>
      <c r="B189" s="3240" t="s">
        <v>3069</v>
      </c>
      <c r="C189" s="3240"/>
      <c r="D189" s="3240"/>
      <c r="E189" s="3240"/>
      <c r="F189" s="3240">
        <v>2050</v>
      </c>
      <c r="G189" s="3240"/>
    </row>
    <row r="190" spans="1:7" s="3218" customFormat="1" ht="14.25" customHeight="1">
      <c r="A190" s="3234" t="s">
        <v>304</v>
      </c>
      <c r="B190" s="3225" t="s">
        <v>3089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3090</v>
      </c>
      <c r="C199" s="3229">
        <v>8690</v>
      </c>
      <c r="D199" s="3229">
        <v>8630</v>
      </c>
      <c r="E199" s="3229">
        <v>11350</v>
      </c>
      <c r="F199" s="3229">
        <v>1600</v>
      </c>
      <c r="G199" s="3242">
        <v>5450</v>
      </c>
    </row>
    <row r="200" spans="1:7" s="3218" customFormat="1" ht="14.25" customHeight="1">
      <c r="A200" s="3229" t="s">
        <v>304</v>
      </c>
      <c r="B200" s="3229" t="s">
        <v>2901</v>
      </c>
      <c r="C200" s="3229"/>
      <c r="D200" s="3229"/>
      <c r="E200" s="3229"/>
      <c r="F200" s="3229">
        <v>1510</v>
      </c>
      <c r="G200" s="3242"/>
    </row>
    <row r="201" spans="1:7" s="3218" customFormat="1" ht="14.25" customHeight="1">
      <c r="A201" s="3229" t="s">
        <v>304</v>
      </c>
      <c r="B201" s="3229" t="s">
        <v>3091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3092</v>
      </c>
      <c r="C203" s="3229">
        <v>8130</v>
      </c>
      <c r="D203" s="3229">
        <v>8070</v>
      </c>
      <c r="E203" s="3229">
        <v>10820</v>
      </c>
      <c r="F203" s="3229">
        <v>1690</v>
      </c>
      <c r="G203" s="3242">
        <v>5100</v>
      </c>
    </row>
    <row r="204" spans="1:7" s="3218" customFormat="1" ht="14.25" customHeight="1">
      <c r="A204" s="3229" t="s">
        <v>304</v>
      </c>
      <c r="B204" s="3229" t="s">
        <v>2912</v>
      </c>
      <c r="C204" s="3229">
        <v>8350</v>
      </c>
      <c r="D204" s="3229">
        <v>8290</v>
      </c>
      <c r="E204" s="3229">
        <v>11080</v>
      </c>
      <c r="F204" s="3229">
        <v>1450</v>
      </c>
      <c r="G204" s="3242">
        <v>5240</v>
      </c>
    </row>
    <row r="205" spans="1:7" s="3218" customFormat="1" ht="14.25" customHeight="1">
      <c r="A205" s="3229" t="s">
        <v>304</v>
      </c>
      <c r="B205" s="3229" t="s">
        <v>2914</v>
      </c>
      <c r="C205" s="3229">
        <v>7190</v>
      </c>
      <c r="D205" s="3229">
        <v>7130</v>
      </c>
      <c r="E205" s="3229">
        <v>9490</v>
      </c>
      <c r="F205" s="3229">
        <v>1470</v>
      </c>
      <c r="G205" s="3242">
        <v>4510</v>
      </c>
    </row>
    <row r="206" spans="1:7" s="3218" customFormat="1" ht="14.25" customHeight="1">
      <c r="A206" s="3229" t="s">
        <v>304</v>
      </c>
      <c r="B206" s="3229" t="s">
        <v>2917</v>
      </c>
      <c r="C206" s="3229">
        <v>7000</v>
      </c>
      <c r="D206" s="3229">
        <v>6950</v>
      </c>
      <c r="E206" s="3229">
        <v>9170</v>
      </c>
      <c r="F206" s="3229">
        <v>1400</v>
      </c>
      <c r="G206" s="3242">
        <v>4380</v>
      </c>
    </row>
    <row r="207" spans="1:7" s="3218" customFormat="1" ht="14.25" customHeight="1">
      <c r="A207" s="3229" t="s">
        <v>304</v>
      </c>
      <c r="B207" s="3229" t="s">
        <v>2919</v>
      </c>
      <c r="C207" s="3229">
        <v>6950</v>
      </c>
      <c r="D207" s="3229">
        <v>6900</v>
      </c>
      <c r="E207" s="3229">
        <v>9110</v>
      </c>
      <c r="F207" s="3229">
        <v>1790</v>
      </c>
      <c r="G207" s="3242">
        <v>4360</v>
      </c>
    </row>
    <row r="208" spans="1:7" s="3218" customFormat="1" ht="14.25" customHeight="1">
      <c r="A208" s="3229" t="s">
        <v>304</v>
      </c>
      <c r="B208" s="3229" t="s">
        <v>3093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2929</v>
      </c>
      <c r="C210" s="3229">
        <v>8710</v>
      </c>
      <c r="D210" s="3229">
        <v>8660</v>
      </c>
      <c r="E210" s="3229">
        <v>11440</v>
      </c>
      <c r="F210" s="3229">
        <v>1740</v>
      </c>
      <c r="G210" s="3242">
        <v>5470</v>
      </c>
    </row>
    <row r="211" spans="1:7" s="3218" customFormat="1" ht="14.25" customHeight="1">
      <c r="A211" s="3229" t="s">
        <v>304</v>
      </c>
      <c r="B211" s="3229" t="s">
        <v>3094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3095</v>
      </c>
      <c r="C214" s="3229">
        <v>8090</v>
      </c>
      <c r="D214" s="3229">
        <v>8030</v>
      </c>
      <c r="E214" s="3229">
        <v>10780</v>
      </c>
      <c r="F214" s="3229">
        <v>1570</v>
      </c>
      <c r="G214" s="3242">
        <v>5070</v>
      </c>
    </row>
    <row r="215" spans="1:7" s="3218" customFormat="1" ht="14.25" customHeight="1">
      <c r="A215" s="3229" t="s">
        <v>304</v>
      </c>
      <c r="B215" s="3229" t="s">
        <v>3096</v>
      </c>
      <c r="C215" s="3229">
        <v>7950</v>
      </c>
      <c r="D215" s="3229">
        <v>7900</v>
      </c>
      <c r="E215" s="3229">
        <v>10560</v>
      </c>
      <c r="F215" s="3229">
        <v>1630</v>
      </c>
      <c r="G215" s="3242">
        <v>4990</v>
      </c>
    </row>
    <row r="216" spans="1:7" s="3218" customFormat="1" ht="14.25" customHeight="1">
      <c r="A216" s="3229" t="s">
        <v>304</v>
      </c>
      <c r="B216" s="3229" t="s">
        <v>3097</v>
      </c>
      <c r="C216" s="3229">
        <v>8490</v>
      </c>
      <c r="D216" s="3229">
        <v>8440</v>
      </c>
      <c r="E216" s="3229">
        <v>11260</v>
      </c>
      <c r="F216" s="3229">
        <v>1690</v>
      </c>
      <c r="G216" s="3242">
        <v>5330</v>
      </c>
    </row>
    <row r="217" spans="1:7" s="3218" customFormat="1" ht="14.25" customHeight="1">
      <c r="A217" s="3229" t="s">
        <v>304</v>
      </c>
      <c r="B217" s="3229" t="s">
        <v>2962</v>
      </c>
      <c r="C217" s="3229">
        <v>8200</v>
      </c>
      <c r="D217" s="3229">
        <v>8150</v>
      </c>
      <c r="E217" s="3229">
        <v>10910</v>
      </c>
      <c r="F217" s="3229">
        <v>1670</v>
      </c>
      <c r="G217" s="3242">
        <v>5150</v>
      </c>
    </row>
    <row r="218" spans="1:7" s="3218" customFormat="1" ht="14.25" customHeight="1">
      <c r="A218" s="3229" t="s">
        <v>304</v>
      </c>
      <c r="B218" s="3229" t="s">
        <v>3098</v>
      </c>
      <c r="C218" s="3229"/>
      <c r="D218" s="3229"/>
      <c r="E218" s="3229"/>
      <c r="F218" s="3229">
        <v>2040</v>
      </c>
      <c r="G218" s="3242"/>
    </row>
    <row r="219" spans="1:7" s="3218" customFormat="1" ht="14.25" customHeight="1">
      <c r="A219" s="3229" t="s">
        <v>304</v>
      </c>
      <c r="B219" s="3229" t="s">
        <v>3099</v>
      </c>
      <c r="C219" s="3229"/>
      <c r="D219" s="3229"/>
      <c r="E219" s="3229"/>
      <c r="F219" s="3229">
        <v>2040</v>
      </c>
      <c r="G219" s="3242"/>
    </row>
    <row r="220" spans="1:7" s="3218" customFormat="1" ht="14.25" customHeight="1">
      <c r="A220" s="3229" t="s">
        <v>304</v>
      </c>
      <c r="B220" s="3229" t="s">
        <v>3100</v>
      </c>
      <c r="C220" s="3229"/>
      <c r="D220" s="3229"/>
      <c r="E220" s="3229"/>
      <c r="F220" s="3229">
        <v>2040</v>
      </c>
      <c r="G220" s="3242"/>
    </row>
    <row r="221" spans="1:7" s="3218" customFormat="1" ht="14.25" customHeight="1">
      <c r="A221" s="3229" t="s">
        <v>304</v>
      </c>
      <c r="B221" s="3229" t="s">
        <v>3101</v>
      </c>
      <c r="C221" s="3229"/>
      <c r="D221" s="3229"/>
      <c r="E221" s="3229"/>
      <c r="F221" s="3229">
        <v>2040</v>
      </c>
      <c r="G221" s="3242"/>
    </row>
    <row r="222" spans="1:7" s="3218" customFormat="1" ht="14.25" customHeight="1">
      <c r="A222" s="3229" t="s">
        <v>304</v>
      </c>
      <c r="B222" s="3229" t="s">
        <v>3102</v>
      </c>
      <c r="C222" s="3229"/>
      <c r="D222" s="3229"/>
      <c r="E222" s="3229"/>
      <c r="F222" s="3229">
        <v>2040</v>
      </c>
      <c r="G222" s="3242"/>
    </row>
    <row r="223" spans="1:7" s="3218" customFormat="1" ht="14.25" customHeight="1">
      <c r="A223" s="3229" t="s">
        <v>304</v>
      </c>
      <c r="B223" s="3229" t="s">
        <v>3103</v>
      </c>
      <c r="C223" s="3229"/>
      <c r="D223" s="3229"/>
      <c r="E223" s="3229"/>
      <c r="F223" s="3229">
        <v>1930</v>
      </c>
      <c r="G223" s="3242"/>
    </row>
    <row r="224" spans="1:7" s="3218" customFormat="1" ht="14.25" customHeight="1">
      <c r="A224" s="3229" t="s">
        <v>304</v>
      </c>
      <c r="B224" s="3229" t="s">
        <v>3104</v>
      </c>
      <c r="C224" s="3229"/>
      <c r="D224" s="3229"/>
      <c r="E224" s="3229"/>
      <c r="F224" s="3229">
        <v>1930</v>
      </c>
      <c r="G224" s="3242"/>
    </row>
    <row r="225" spans="1:7" s="3218" customFormat="1" ht="14.25" customHeight="1">
      <c r="A225" s="3229" t="s">
        <v>304</v>
      </c>
      <c r="B225" s="3229" t="s">
        <v>3105</v>
      </c>
      <c r="C225" s="3229"/>
      <c r="D225" s="3229"/>
      <c r="E225" s="3229"/>
      <c r="F225" s="3229">
        <v>1930</v>
      </c>
      <c r="G225" s="3242"/>
    </row>
    <row r="226" spans="1:7" s="3218" customFormat="1" ht="14.25" customHeight="1">
      <c r="A226" s="3229" t="s">
        <v>304</v>
      </c>
      <c r="B226" s="3229" t="s">
        <v>3106</v>
      </c>
      <c r="C226" s="3229"/>
      <c r="D226" s="3229"/>
      <c r="E226" s="3229"/>
      <c r="F226" s="3229">
        <v>1700</v>
      </c>
      <c r="G226" s="3242"/>
    </row>
    <row r="227" spans="1:7" s="3218" customFormat="1" ht="14.25" customHeight="1">
      <c r="A227" s="3229" t="s">
        <v>304</v>
      </c>
      <c r="B227" s="3229" t="s">
        <v>3107</v>
      </c>
      <c r="C227" s="3229"/>
      <c r="D227" s="3229"/>
      <c r="E227" s="3229"/>
      <c r="F227" s="3229">
        <v>1520</v>
      </c>
      <c r="G227" s="3242"/>
    </row>
    <row r="228" spans="1:7" s="3218" customFormat="1" ht="14.25" customHeight="1">
      <c r="A228" s="3229" t="s">
        <v>304</v>
      </c>
      <c r="B228" s="3229" t="s">
        <v>3108</v>
      </c>
      <c r="C228" s="3229"/>
      <c r="D228" s="3229"/>
      <c r="E228" s="3229"/>
      <c r="F228" s="3229">
        <v>1520</v>
      </c>
      <c r="G228" s="3242"/>
    </row>
    <row r="229" spans="1:7" s="3218" customFormat="1" ht="14.25" customHeight="1">
      <c r="A229" s="3229" t="s">
        <v>304</v>
      </c>
      <c r="B229" s="3229" t="s">
        <v>3025</v>
      </c>
      <c r="C229" s="3229"/>
      <c r="D229" s="3229"/>
      <c r="E229" s="3229"/>
      <c r="F229" s="3229">
        <v>1520</v>
      </c>
      <c r="G229" s="3242"/>
    </row>
    <row r="230" spans="1:7" s="3218" customFormat="1" ht="14.25" customHeight="1">
      <c r="A230" s="3229" t="s">
        <v>304</v>
      </c>
      <c r="B230" s="3229" t="s">
        <v>3109</v>
      </c>
      <c r="C230" s="3229"/>
      <c r="D230" s="3229"/>
      <c r="E230" s="3229"/>
      <c r="F230" s="3229">
        <v>1820</v>
      </c>
      <c r="G230" s="3242"/>
    </row>
    <row r="231" spans="1:7" s="3218" customFormat="1" ht="14.25" customHeight="1">
      <c r="A231" s="3229" t="s">
        <v>304</v>
      </c>
      <c r="B231" s="3229" t="s">
        <v>3110</v>
      </c>
      <c r="C231" s="3229"/>
      <c r="D231" s="3229"/>
      <c r="E231" s="3229"/>
      <c r="F231" s="3229">
        <v>1760</v>
      </c>
      <c r="G231" s="3242"/>
    </row>
    <row r="232" spans="1:7" s="3218" customFormat="1" ht="14.25" customHeight="1">
      <c r="A232" s="3229" t="s">
        <v>304</v>
      </c>
      <c r="B232" s="3229" t="s">
        <v>3111</v>
      </c>
      <c r="C232" s="3229"/>
      <c r="D232" s="3229"/>
      <c r="E232" s="3229"/>
      <c r="F232" s="3229">
        <v>1840</v>
      </c>
      <c r="G232" s="3242"/>
    </row>
    <row r="233" spans="1:7" s="3218" customFormat="1" ht="14.25" customHeight="1" thickBot="1">
      <c r="A233" s="3243" t="s">
        <v>304</v>
      </c>
      <c r="B233" s="3236" t="s">
        <v>3042</v>
      </c>
      <c r="C233" s="3236"/>
      <c r="D233" s="3236"/>
      <c r="E233" s="3236"/>
      <c r="F233" s="3236">
        <v>1770</v>
      </c>
      <c r="G233" s="3244"/>
    </row>
    <row r="234" spans="1:7" s="3218" customFormat="1" ht="14.25" customHeight="1">
      <c r="A234" s="3234" t="s">
        <v>305</v>
      </c>
      <c r="B234" s="3225" t="s">
        <v>3112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2883</v>
      </c>
      <c r="C238" s="3229">
        <v>6920</v>
      </c>
      <c r="D238" s="3229">
        <v>6890</v>
      </c>
      <c r="E238" s="3229">
        <v>8640</v>
      </c>
      <c r="F238" s="3229">
        <v>1310</v>
      </c>
      <c r="G238" s="3229">
        <v>4230</v>
      </c>
    </row>
    <row r="239" spans="1:7" s="3218" customFormat="1" ht="14.25" customHeight="1">
      <c r="A239" s="3229" t="s">
        <v>305</v>
      </c>
      <c r="B239" s="3229" t="s">
        <v>3113</v>
      </c>
      <c r="C239" s="3229">
        <v>6780</v>
      </c>
      <c r="D239" s="3229">
        <v>6750</v>
      </c>
      <c r="E239" s="3229">
        <v>8440</v>
      </c>
      <c r="F239" s="3229">
        <v>1160</v>
      </c>
      <c r="G239" s="3229">
        <v>4140</v>
      </c>
    </row>
    <row r="240" spans="1:7" s="3218" customFormat="1" ht="14.25" customHeight="1">
      <c r="A240" s="3229" t="s">
        <v>305</v>
      </c>
      <c r="B240" s="3229" t="s">
        <v>3114</v>
      </c>
      <c r="C240" s="3229">
        <v>5420</v>
      </c>
      <c r="D240" s="3229">
        <v>5380</v>
      </c>
      <c r="E240" s="3229">
        <v>6640</v>
      </c>
      <c r="F240" s="3229">
        <v>1020</v>
      </c>
      <c r="G240" s="3229">
        <v>3300</v>
      </c>
    </row>
    <row r="241" spans="1:7" s="3218" customFormat="1" ht="14.25" customHeight="1">
      <c r="A241" s="3229" t="s">
        <v>305</v>
      </c>
      <c r="B241" s="3229" t="s">
        <v>3115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2945</v>
      </c>
      <c r="C258" s="3229">
        <v>6190</v>
      </c>
      <c r="D258" s="3229">
        <v>6160</v>
      </c>
      <c r="E258" s="3229">
        <v>7680</v>
      </c>
      <c r="F258" s="3229">
        <v>1170</v>
      </c>
      <c r="G258" s="3229">
        <v>3780</v>
      </c>
    </row>
    <row r="259" spans="1:7" s="3218" customFormat="1" ht="14.25" customHeight="1">
      <c r="A259" s="3229" t="s">
        <v>305</v>
      </c>
      <c r="B259" s="3229" t="s">
        <v>3121</v>
      </c>
      <c r="C259" s="3229">
        <v>7610</v>
      </c>
      <c r="D259" s="3229">
        <v>7570</v>
      </c>
      <c r="E259" s="3229">
        <v>9350</v>
      </c>
      <c r="F259" s="3229">
        <v>1350</v>
      </c>
      <c r="G259" s="3229">
        <v>4650</v>
      </c>
    </row>
    <row r="260" spans="1:7" s="3218" customFormat="1" ht="14.25" customHeight="1">
      <c r="A260" s="3229" t="s">
        <v>305</v>
      </c>
      <c r="B260" s="3229" t="s">
        <v>3122</v>
      </c>
      <c r="C260" s="3229">
        <v>6920</v>
      </c>
      <c r="D260" s="3229">
        <v>6880</v>
      </c>
      <c r="E260" s="3229">
        <v>8380</v>
      </c>
      <c r="F260" s="3229">
        <v>1160</v>
      </c>
      <c r="G260" s="3229">
        <v>4220</v>
      </c>
    </row>
    <row r="261" spans="1:7" s="3218" customFormat="1" ht="14.25" customHeight="1">
      <c r="A261" s="3229" t="s">
        <v>305</v>
      </c>
      <c r="B261" s="3229" t="s">
        <v>3123</v>
      </c>
      <c r="C261" s="3229">
        <v>6850</v>
      </c>
      <c r="D261" s="3229">
        <v>6810</v>
      </c>
      <c r="E261" s="3229">
        <v>8290</v>
      </c>
      <c r="F261" s="3229">
        <v>1130</v>
      </c>
      <c r="G261" s="3229">
        <v>4180</v>
      </c>
    </row>
    <row r="262" spans="1:7" s="3218" customFormat="1" ht="14.25" customHeight="1">
      <c r="A262" s="3229" t="s">
        <v>305</v>
      </c>
      <c r="B262" s="3229" t="s">
        <v>3124</v>
      </c>
      <c r="C262" s="3229">
        <v>5860</v>
      </c>
      <c r="D262" s="3229">
        <v>5820</v>
      </c>
      <c r="E262" s="3229">
        <v>7640</v>
      </c>
      <c r="F262" s="3229">
        <v>1070</v>
      </c>
      <c r="G262" s="3229">
        <v>3570</v>
      </c>
    </row>
    <row r="263" spans="1:7" s="3218" customFormat="1" ht="14.25" customHeight="1">
      <c r="A263" s="3229" t="s">
        <v>305</v>
      </c>
      <c r="B263" s="3229" t="s">
        <v>3125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3126</v>
      </c>
      <c r="C265" s="3229"/>
      <c r="D265" s="3229"/>
      <c r="E265" s="3229"/>
      <c r="F265" s="3229">
        <v>1500</v>
      </c>
      <c r="G265" s="3229"/>
    </row>
    <row r="266" spans="1:7" s="3218" customFormat="1" ht="14.25" customHeight="1">
      <c r="A266" s="3229" t="s">
        <v>305</v>
      </c>
      <c r="B266" s="3229" t="s">
        <v>3127</v>
      </c>
      <c r="C266" s="3229"/>
      <c r="D266" s="3229"/>
      <c r="E266" s="3229"/>
      <c r="F266" s="3229">
        <v>1500</v>
      </c>
      <c r="G266" s="3229"/>
    </row>
    <row r="267" spans="1:7" s="3218" customFormat="1" ht="14.25" customHeight="1">
      <c r="A267" s="3229" t="s">
        <v>305</v>
      </c>
      <c r="B267" s="3229" t="s">
        <v>3128</v>
      </c>
      <c r="C267" s="3229"/>
      <c r="D267" s="3229"/>
      <c r="E267" s="3229"/>
      <c r="F267" s="3229">
        <v>1500</v>
      </c>
      <c r="G267" s="3229"/>
    </row>
    <row r="268" spans="1:7" s="3218" customFormat="1" ht="14.25" customHeight="1">
      <c r="A268" s="3229" t="s">
        <v>305</v>
      </c>
      <c r="B268" s="3229" t="s">
        <v>3129</v>
      </c>
      <c r="C268" s="3229"/>
      <c r="D268" s="3229"/>
      <c r="E268" s="3229"/>
      <c r="F268" s="3229">
        <v>1290</v>
      </c>
      <c r="G268" s="3229"/>
    </row>
    <row r="269" spans="1:7" s="3218" customFormat="1" ht="14.25" customHeight="1">
      <c r="A269" s="3229" t="s">
        <v>305</v>
      </c>
      <c r="B269" s="3229" t="s">
        <v>3130</v>
      </c>
      <c r="C269" s="3229"/>
      <c r="D269" s="3229"/>
      <c r="E269" s="3229"/>
      <c r="F269" s="3229">
        <v>1150</v>
      </c>
      <c r="G269" s="3229"/>
    </row>
    <row r="270" spans="1:7" s="3218" customFormat="1" ht="14.25" customHeight="1">
      <c r="A270" s="3229" t="s">
        <v>305</v>
      </c>
      <c r="B270" s="3229" t="s">
        <v>3131</v>
      </c>
      <c r="C270" s="3229"/>
      <c r="D270" s="3229"/>
      <c r="E270" s="3229"/>
      <c r="F270" s="3229">
        <v>1380</v>
      </c>
      <c r="G270" s="3229"/>
    </row>
    <row r="271" spans="1:7" s="3218" customFormat="1" ht="14.25" customHeight="1">
      <c r="A271" s="3229" t="s">
        <v>305</v>
      </c>
      <c r="B271" s="3229" t="s">
        <v>3132</v>
      </c>
      <c r="C271" s="3229"/>
      <c r="D271" s="3229"/>
      <c r="E271" s="3229"/>
      <c r="F271" s="3229">
        <v>1460</v>
      </c>
      <c r="G271" s="3229"/>
    </row>
    <row r="272" spans="1:7" s="3218" customFormat="1" ht="14.25" customHeight="1">
      <c r="A272" s="3229" t="s">
        <v>305</v>
      </c>
      <c r="B272" s="3229" t="s">
        <v>3133</v>
      </c>
      <c r="C272" s="3229"/>
      <c r="D272" s="3229"/>
      <c r="E272" s="3229"/>
      <c r="F272" s="3229">
        <v>1460</v>
      </c>
      <c r="G272" s="3229"/>
    </row>
    <row r="273" spans="1:7" s="3218" customFormat="1" ht="14.25" customHeight="1">
      <c r="A273" s="3229" t="s">
        <v>305</v>
      </c>
      <c r="B273" s="3229" t="s">
        <v>3026</v>
      </c>
      <c r="C273" s="3229"/>
      <c r="D273" s="3229"/>
      <c r="E273" s="3229"/>
      <c r="F273" s="3229">
        <v>1490</v>
      </c>
      <c r="G273" s="3229"/>
    </row>
    <row r="274" spans="1:7" s="3218" customFormat="1" ht="14.25" customHeight="1">
      <c r="A274" s="3229" t="s">
        <v>305</v>
      </c>
      <c r="B274" s="3229" t="s">
        <v>3134</v>
      </c>
      <c r="C274" s="3229"/>
      <c r="D274" s="3229"/>
      <c r="E274" s="3229"/>
      <c r="F274" s="3229">
        <v>1490</v>
      </c>
      <c r="G274" s="3229"/>
    </row>
    <row r="275" spans="1:7" s="3218" customFormat="1" ht="14.25" customHeight="1">
      <c r="A275" s="3229" t="s">
        <v>305</v>
      </c>
      <c r="B275" s="3229" t="s">
        <v>3135</v>
      </c>
      <c r="C275" s="3229"/>
      <c r="D275" s="3229"/>
      <c r="E275" s="3229"/>
      <c r="F275" s="3229">
        <v>1220</v>
      </c>
      <c r="G275" s="3229"/>
    </row>
    <row r="276" spans="1:7" s="3218" customFormat="1" ht="14.25" customHeight="1" thickBot="1">
      <c r="A276" s="3237" t="s">
        <v>305</v>
      </c>
      <c r="B276" s="3239" t="s">
        <v>3136</v>
      </c>
      <c r="C276" s="3240"/>
      <c r="D276" s="3240"/>
      <c r="E276" s="3240"/>
      <c r="F276" s="3240">
        <v>1380</v>
      </c>
      <c r="G276" s="3240"/>
    </row>
    <row r="277" spans="1:7" s="3218" customFormat="1" ht="14.25" customHeight="1">
      <c r="A277" s="3234" t="s">
        <v>306</v>
      </c>
      <c r="B277" s="3225" t="s">
        <v>3137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3138</v>
      </c>
      <c r="C279" s="3229">
        <v>4760</v>
      </c>
      <c r="D279" s="3229">
        <v>4720</v>
      </c>
      <c r="E279" s="3229">
        <v>5540</v>
      </c>
      <c r="F279" s="3229">
        <v>810</v>
      </c>
      <c r="G279" s="3242">
        <v>2850</v>
      </c>
    </row>
    <row r="280" spans="1:7" s="3218" customFormat="1" ht="14.25" customHeight="1">
      <c r="A280" s="3229" t="s">
        <v>306</v>
      </c>
      <c r="B280" s="3229" t="s">
        <v>3139</v>
      </c>
      <c r="C280" s="3229">
        <v>4010</v>
      </c>
      <c r="D280" s="3229">
        <v>3950</v>
      </c>
      <c r="E280" s="3229">
        <v>4710</v>
      </c>
      <c r="F280" s="3229">
        <v>800</v>
      </c>
      <c r="G280" s="3242">
        <v>2390</v>
      </c>
    </row>
    <row r="281" spans="1:7" s="3218" customFormat="1" ht="14.25" customHeight="1">
      <c r="A281" s="3229" t="s">
        <v>306</v>
      </c>
      <c r="B281" s="3229" t="s">
        <v>3140</v>
      </c>
      <c r="C281" s="3229">
        <v>4480</v>
      </c>
      <c r="D281" s="3229">
        <v>4420</v>
      </c>
      <c r="E281" s="3229">
        <v>5230</v>
      </c>
      <c r="F281" s="3229">
        <v>870</v>
      </c>
      <c r="G281" s="3242">
        <v>2660</v>
      </c>
    </row>
    <row r="282" spans="1:7" s="3218" customFormat="1" ht="14.25" customHeight="1">
      <c r="A282" s="3229" t="s">
        <v>306</v>
      </c>
      <c r="B282" s="3229" t="s">
        <v>3141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2918</v>
      </c>
      <c r="C293" s="3229">
        <v>5320</v>
      </c>
      <c r="D293" s="3229">
        <v>5270</v>
      </c>
      <c r="E293" s="3229">
        <v>6160</v>
      </c>
      <c r="F293" s="3229">
        <v>990</v>
      </c>
      <c r="G293" s="3242">
        <v>3170</v>
      </c>
    </row>
    <row r="294" spans="1:7" s="3218" customFormat="1" ht="14.25" customHeight="1">
      <c r="A294" s="3229" t="s">
        <v>306</v>
      </c>
      <c r="B294" s="3229" t="s">
        <v>3144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3145</v>
      </c>
      <c r="C302" s="3229">
        <v>5520</v>
      </c>
      <c r="D302" s="3229">
        <v>5470</v>
      </c>
      <c r="E302" s="3229">
        <v>6410</v>
      </c>
      <c r="F302" s="3229">
        <v>950</v>
      </c>
      <c r="G302" s="3242">
        <v>3300</v>
      </c>
    </row>
    <row r="303" spans="1:7" s="3218" customFormat="1" ht="14.25" customHeight="1">
      <c r="A303" s="3229" t="s">
        <v>306</v>
      </c>
      <c r="B303" s="3229" t="s">
        <v>2957</v>
      </c>
      <c r="C303" s="3229">
        <v>5630</v>
      </c>
      <c r="D303" s="3229">
        <v>5590</v>
      </c>
      <c r="E303" s="3229">
        <v>6550</v>
      </c>
      <c r="F303" s="3229">
        <v>1010</v>
      </c>
      <c r="G303" s="3242">
        <v>3370</v>
      </c>
    </row>
    <row r="304" spans="1:7" s="3218" customFormat="1" ht="14.25" customHeight="1">
      <c r="A304" s="3229" t="s">
        <v>306</v>
      </c>
      <c r="B304" s="3229" t="s">
        <v>2964</v>
      </c>
      <c r="C304" s="3229">
        <v>5680</v>
      </c>
      <c r="D304" s="3229">
        <v>5620</v>
      </c>
      <c r="E304" s="3229">
        <v>6620</v>
      </c>
      <c r="F304" s="3229">
        <v>1050</v>
      </c>
      <c r="G304" s="3242">
        <v>3390</v>
      </c>
    </row>
    <row r="305" spans="1:7" s="3218" customFormat="1" ht="14.25" customHeight="1">
      <c r="A305" s="3229" t="s">
        <v>306</v>
      </c>
      <c r="B305" s="3229" t="s">
        <v>2970</v>
      </c>
      <c r="C305" s="3229">
        <v>5590</v>
      </c>
      <c r="D305" s="3229">
        <v>5530</v>
      </c>
      <c r="E305" s="3229">
        <v>6460</v>
      </c>
      <c r="F305" s="3229">
        <v>900</v>
      </c>
      <c r="G305" s="3242">
        <v>3340</v>
      </c>
    </row>
    <row r="306" spans="1:7" s="3218" customFormat="1" ht="14.25" customHeight="1">
      <c r="A306" s="3229" t="s">
        <v>306</v>
      </c>
      <c r="B306" s="3229" t="s">
        <v>3146</v>
      </c>
      <c r="C306" s="3229">
        <v>5560</v>
      </c>
      <c r="D306" s="3229">
        <v>5510</v>
      </c>
      <c r="E306" s="3229">
        <v>6440</v>
      </c>
      <c r="F306" s="3229">
        <v>900</v>
      </c>
      <c r="G306" s="3242">
        <v>3320</v>
      </c>
    </row>
    <row r="307" spans="1:7" s="3218" customFormat="1" ht="14.25" customHeight="1">
      <c r="A307" s="3229" t="s">
        <v>306</v>
      </c>
      <c r="B307" s="3229" t="s">
        <v>2982</v>
      </c>
      <c r="C307" s="3229">
        <v>5650</v>
      </c>
      <c r="D307" s="3229">
        <v>5600</v>
      </c>
      <c r="E307" s="3229">
        <v>6590</v>
      </c>
      <c r="F307" s="3229">
        <v>930</v>
      </c>
      <c r="G307" s="3242">
        <v>3380</v>
      </c>
    </row>
    <row r="308" spans="1:7" s="3218" customFormat="1" ht="14.25" customHeight="1">
      <c r="A308" s="3229" t="s">
        <v>306</v>
      </c>
      <c r="B308" s="3229" t="s">
        <v>3147</v>
      </c>
      <c r="C308" s="3229">
        <v>5620</v>
      </c>
      <c r="D308" s="3229">
        <v>5580</v>
      </c>
      <c r="E308" s="3229">
        <v>6540</v>
      </c>
      <c r="F308" s="3229">
        <v>910</v>
      </c>
      <c r="G308" s="3242">
        <v>3370</v>
      </c>
    </row>
    <row r="309" spans="1:7" s="3218" customFormat="1" ht="14.25" customHeight="1">
      <c r="A309" s="3229" t="s">
        <v>306</v>
      </c>
      <c r="B309" s="3229" t="s">
        <v>3148</v>
      </c>
      <c r="C309" s="3229">
        <v>5060</v>
      </c>
      <c r="D309" s="3229">
        <v>5020</v>
      </c>
      <c r="E309" s="3229">
        <v>6370</v>
      </c>
      <c r="F309" s="3229">
        <v>800</v>
      </c>
      <c r="G309" s="3242">
        <v>3020</v>
      </c>
    </row>
    <row r="310" spans="1:7" s="3218" customFormat="1" ht="14.25" customHeight="1">
      <c r="A310" s="3229" t="s">
        <v>306</v>
      </c>
      <c r="B310" s="3229" t="s">
        <v>2997</v>
      </c>
      <c r="C310" s="3229">
        <v>5150</v>
      </c>
      <c r="D310" s="3229">
        <v>5110</v>
      </c>
      <c r="E310" s="3229">
        <v>6500</v>
      </c>
      <c r="F310" s="3229">
        <v>880</v>
      </c>
      <c r="G310" s="3242">
        <v>3080</v>
      </c>
    </row>
    <row r="311" spans="1:7" s="3218" customFormat="1" ht="14.25" customHeight="1">
      <c r="A311" s="3229" t="s">
        <v>306</v>
      </c>
      <c r="B311" s="3229" t="s">
        <v>3149</v>
      </c>
      <c r="C311" s="3229">
        <v>4750</v>
      </c>
      <c r="D311" s="3229">
        <v>4710</v>
      </c>
      <c r="E311" s="3229">
        <v>5510</v>
      </c>
      <c r="F311" s="3229">
        <v>880</v>
      </c>
      <c r="G311" s="3242">
        <v>2840</v>
      </c>
    </row>
    <row r="312" spans="1:7" s="3218" customFormat="1" ht="14.25" customHeight="1">
      <c r="A312" s="3229" t="s">
        <v>306</v>
      </c>
      <c r="B312" s="3229" t="s">
        <v>3007</v>
      </c>
      <c r="C312" s="3229">
        <v>4690</v>
      </c>
      <c r="D312" s="3229">
        <v>4640</v>
      </c>
      <c r="E312" s="3229">
        <v>5420</v>
      </c>
      <c r="F312" s="3229">
        <v>800</v>
      </c>
      <c r="G312" s="3242">
        <v>2800</v>
      </c>
    </row>
    <row r="313" spans="1:7" s="3218" customFormat="1" ht="14.25" customHeight="1">
      <c r="A313" s="3229" t="s">
        <v>306</v>
      </c>
      <c r="B313" s="3229" t="s">
        <v>3012</v>
      </c>
      <c r="C313" s="3229">
        <v>4810</v>
      </c>
      <c r="D313" s="3229">
        <v>4760</v>
      </c>
      <c r="E313" s="3229">
        <v>5550</v>
      </c>
      <c r="F313" s="3229">
        <v>920</v>
      </c>
      <c r="G313" s="3242">
        <v>2870</v>
      </c>
    </row>
    <row r="314" spans="1:7" s="3218" customFormat="1" ht="14.25" customHeight="1">
      <c r="A314" s="3229" t="s">
        <v>306</v>
      </c>
      <c r="B314" s="3229" t="s">
        <v>3150</v>
      </c>
      <c r="C314" s="3229"/>
      <c r="D314" s="3229"/>
      <c r="E314" s="3229"/>
      <c r="F314" s="3229">
        <v>1020</v>
      </c>
      <c r="G314" s="3242"/>
    </row>
    <row r="315" spans="1:7" s="3218" customFormat="1" ht="14.25" customHeight="1">
      <c r="A315" s="3229" t="s">
        <v>306</v>
      </c>
      <c r="B315" s="3229" t="s">
        <v>3151</v>
      </c>
      <c r="C315" s="3229"/>
      <c r="D315" s="3229"/>
      <c r="E315" s="3229"/>
      <c r="F315" s="3229">
        <v>1050</v>
      </c>
      <c r="G315" s="3242"/>
    </row>
    <row r="316" spans="1:7" s="3218" customFormat="1" ht="14.25" customHeight="1">
      <c r="A316" s="3229" t="s">
        <v>306</v>
      </c>
      <c r="B316" s="3229" t="s">
        <v>3027</v>
      </c>
      <c r="C316" s="3229"/>
      <c r="D316" s="3229"/>
      <c r="E316" s="3229"/>
      <c r="F316" s="3229">
        <v>900</v>
      </c>
      <c r="G316" s="3242"/>
    </row>
    <row r="317" spans="1:7" s="3218" customFormat="1" ht="14.25" customHeight="1">
      <c r="A317" s="3229" t="s">
        <v>306</v>
      </c>
      <c r="B317" s="3229" t="s">
        <v>3152</v>
      </c>
      <c r="C317" s="3229"/>
      <c r="D317" s="3229"/>
      <c r="E317" s="3229"/>
      <c r="F317" s="3229">
        <v>920</v>
      </c>
      <c r="G317" s="3242"/>
    </row>
    <row r="318" spans="1:7" s="3218" customFormat="1" ht="14.25" customHeight="1">
      <c r="A318" s="3229" t="s">
        <v>306</v>
      </c>
      <c r="B318" s="3229" t="s">
        <v>3153</v>
      </c>
      <c r="C318" s="3229"/>
      <c r="D318" s="3229"/>
      <c r="E318" s="3229"/>
      <c r="F318" s="3229">
        <v>1080</v>
      </c>
      <c r="G318" s="3242"/>
    </row>
    <row r="319" spans="1:7" s="3218" customFormat="1" ht="14.25" customHeight="1">
      <c r="A319" s="3229" t="s">
        <v>306</v>
      </c>
      <c r="B319" s="3229" t="s">
        <v>3040</v>
      </c>
      <c r="C319" s="3229"/>
      <c r="D319" s="3229"/>
      <c r="E319" s="3229"/>
      <c r="F319" s="3229">
        <v>1020</v>
      </c>
      <c r="G319" s="3242"/>
    </row>
    <row r="320" spans="1:7" s="3218" customFormat="1" ht="14.25" customHeight="1">
      <c r="A320" s="3229" t="s">
        <v>306</v>
      </c>
      <c r="B320" s="3229" t="s">
        <v>3043</v>
      </c>
      <c r="C320" s="3229"/>
      <c r="D320" s="3229"/>
      <c r="E320" s="3229"/>
      <c r="F320" s="3229">
        <v>1050</v>
      </c>
      <c r="G320" s="3242"/>
    </row>
    <row r="321" spans="1:7" s="3218" customFormat="1" ht="14.25" customHeight="1">
      <c r="A321" s="3229" t="s">
        <v>306</v>
      </c>
      <c r="B321" s="3229" t="s">
        <v>3045</v>
      </c>
      <c r="C321" s="3229"/>
      <c r="D321" s="3229"/>
      <c r="E321" s="3229"/>
      <c r="F321" s="3229">
        <v>960</v>
      </c>
      <c r="G321" s="3242"/>
    </row>
    <row r="322" spans="1:7" s="3218" customFormat="1" ht="14.25" customHeight="1">
      <c r="A322" s="3229" t="s">
        <v>306</v>
      </c>
      <c r="B322" s="3229" t="s">
        <v>3047</v>
      </c>
      <c r="C322" s="3229"/>
      <c r="D322" s="3229"/>
      <c r="E322" s="3229"/>
      <c r="F322" s="3229">
        <v>960</v>
      </c>
      <c r="G322" s="3242"/>
    </row>
    <row r="323" spans="1:7" s="3218" customFormat="1" ht="14.25" customHeight="1">
      <c r="A323" s="3229" t="s">
        <v>306</v>
      </c>
      <c r="B323" s="3229" t="s">
        <v>3049</v>
      </c>
      <c r="C323" s="3229"/>
      <c r="D323" s="3229"/>
      <c r="E323" s="3229"/>
      <c r="F323" s="3229">
        <v>880</v>
      </c>
      <c r="G323" s="3242"/>
    </row>
    <row r="324" spans="1:7" s="3218" customFormat="1" ht="14.25" customHeight="1">
      <c r="A324" s="3229" t="s">
        <v>306</v>
      </c>
      <c r="B324" s="3229" t="s">
        <v>3051</v>
      </c>
      <c r="C324" s="3229"/>
      <c r="D324" s="3229"/>
      <c r="E324" s="3229"/>
      <c r="F324" s="3229">
        <v>930</v>
      </c>
      <c r="G324" s="3242"/>
    </row>
    <row r="325" spans="1:7" s="3218" customFormat="1" ht="14.25" customHeight="1">
      <c r="A325" s="3229" t="s">
        <v>306</v>
      </c>
      <c r="B325" s="3230" t="s">
        <v>3053</v>
      </c>
      <c r="C325" s="3229"/>
      <c r="D325" s="3229"/>
      <c r="E325" s="3229"/>
      <c r="F325" s="3229">
        <v>900</v>
      </c>
      <c r="G325" s="3242"/>
    </row>
    <row r="326" spans="1:7" s="3218" customFormat="1" ht="14.25" customHeight="1" thickBot="1">
      <c r="A326" s="3243" t="s">
        <v>306</v>
      </c>
      <c r="B326" s="3236" t="s">
        <v>3055</v>
      </c>
      <c r="C326" s="3236"/>
      <c r="D326" s="3236"/>
      <c r="E326" s="3236"/>
      <c r="F326" s="3236">
        <v>790</v>
      </c>
      <c r="G326" s="3244"/>
    </row>
    <row r="327" spans="1:7" s="3218" customFormat="1" ht="14.25" customHeight="1">
      <c r="A327" s="3234" t="s">
        <v>307</v>
      </c>
      <c r="B327" s="3225" t="s">
        <v>3154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3155</v>
      </c>
      <c r="C329" s="3229">
        <v>2730</v>
      </c>
      <c r="D329" s="3229">
        <v>2690</v>
      </c>
      <c r="E329" s="3229">
        <v>3100</v>
      </c>
      <c r="F329" s="3229">
        <v>660</v>
      </c>
      <c r="G329" s="3229">
        <v>1610</v>
      </c>
    </row>
    <row r="330" spans="1:7" s="3218" customFormat="1" ht="14.25" customHeight="1">
      <c r="A330" s="3229" t="s">
        <v>307</v>
      </c>
      <c r="B330" s="3229" t="s">
        <v>3156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2889</v>
      </c>
      <c r="C332" s="3229">
        <v>3520</v>
      </c>
      <c r="D332" s="3229">
        <v>3480</v>
      </c>
      <c r="E332" s="3229">
        <v>3830</v>
      </c>
      <c r="F332" s="3229">
        <v>720</v>
      </c>
      <c r="G332" s="3229">
        <v>2090</v>
      </c>
    </row>
    <row r="333" spans="1:7" s="3218" customFormat="1" ht="14.25" customHeight="1">
      <c r="A333" s="3229" t="s">
        <v>307</v>
      </c>
      <c r="B333" s="3229" t="s">
        <v>3157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2899</v>
      </c>
      <c r="C336" s="3229">
        <v>3570</v>
      </c>
      <c r="D336" s="3229">
        <v>3530</v>
      </c>
      <c r="E336" s="3229">
        <v>3880</v>
      </c>
      <c r="F336" s="3229">
        <v>770</v>
      </c>
      <c r="G336" s="3229">
        <v>2110</v>
      </c>
    </row>
    <row r="337" spans="1:10" s="3218" customFormat="1" ht="14.25" customHeight="1">
      <c r="A337" s="3229" t="s">
        <v>307</v>
      </c>
      <c r="B337" s="3229" t="s">
        <v>3158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2924</v>
      </c>
      <c r="C345" s="3229">
        <v>3190</v>
      </c>
      <c r="D345" s="3229">
        <v>3140</v>
      </c>
      <c r="E345" s="3229">
        <v>3450</v>
      </c>
      <c r="F345" s="3229">
        <v>720</v>
      </c>
      <c r="G345" s="3229">
        <v>1880</v>
      </c>
      <c r="J345" s="3218"/>
    </row>
    <row r="346" spans="1:10">
      <c r="A346" s="3229" t="s">
        <v>307</v>
      </c>
      <c r="B346" s="3229" t="s">
        <v>3161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2933</v>
      </c>
      <c r="C348" s="3229">
        <v>4000</v>
      </c>
      <c r="D348" s="3229">
        <v>3950</v>
      </c>
      <c r="E348" s="3229">
        <v>4430</v>
      </c>
      <c r="F348" s="3229">
        <v>760</v>
      </c>
      <c r="G348" s="3229">
        <v>2360</v>
      </c>
      <c r="J348" s="3218"/>
    </row>
    <row r="349" spans="1:10">
      <c r="A349" s="3229" t="s">
        <v>307</v>
      </c>
      <c r="B349" s="3229" t="s">
        <v>2938</v>
      </c>
      <c r="C349" s="3229">
        <v>3820</v>
      </c>
      <c r="D349" s="3229">
        <v>3780</v>
      </c>
      <c r="E349" s="3229">
        <v>4170</v>
      </c>
      <c r="F349" s="3229">
        <v>710</v>
      </c>
      <c r="G349" s="3229">
        <v>2260</v>
      </c>
      <c r="J349" s="3218"/>
    </row>
    <row r="350" spans="1:10">
      <c r="A350" s="3229" t="s">
        <v>307</v>
      </c>
      <c r="B350" s="3229" t="s">
        <v>3162</v>
      </c>
      <c r="C350" s="3229">
        <v>3760</v>
      </c>
      <c r="D350" s="3229">
        <v>3730</v>
      </c>
      <c r="E350" s="3229">
        <v>4100</v>
      </c>
      <c r="F350" s="3229">
        <v>800</v>
      </c>
      <c r="G350" s="3229">
        <v>2230</v>
      </c>
      <c r="J350" s="3218"/>
    </row>
    <row r="351" spans="1:10">
      <c r="A351" s="3229" t="s">
        <v>307</v>
      </c>
      <c r="B351" s="3229" t="s">
        <v>2946</v>
      </c>
      <c r="C351" s="3229">
        <v>3610</v>
      </c>
      <c r="D351" s="3229">
        <v>3580</v>
      </c>
      <c r="E351" s="3229">
        <v>3930</v>
      </c>
      <c r="F351" s="3229">
        <v>700</v>
      </c>
      <c r="G351" s="3229">
        <v>2140</v>
      </c>
      <c r="J351" s="3218"/>
    </row>
    <row r="352" spans="1:10">
      <c r="A352" s="3229" t="s">
        <v>307</v>
      </c>
      <c r="B352" s="3229" t="s">
        <v>2951</v>
      </c>
      <c r="C352" s="3229">
        <v>3670</v>
      </c>
      <c r="D352" s="3229">
        <v>3630</v>
      </c>
      <c r="E352" s="3229">
        <v>4000</v>
      </c>
      <c r="F352" s="3229">
        <v>750</v>
      </c>
      <c r="G352" s="3229">
        <v>2180</v>
      </c>
    </row>
    <row r="353" spans="1:7" s="3222" customFormat="1">
      <c r="A353" s="3229" t="s">
        <v>307</v>
      </c>
      <c r="B353" s="3229" t="s">
        <v>3163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2971</v>
      </c>
      <c r="C355" s="3229">
        <v>3650</v>
      </c>
      <c r="D355" s="3229">
        <v>3610</v>
      </c>
      <c r="E355" s="3229">
        <v>4200</v>
      </c>
      <c r="F355" s="3229">
        <v>640</v>
      </c>
      <c r="G355" s="3229">
        <v>2160</v>
      </c>
    </row>
    <row r="356" spans="1:7" s="3222" customFormat="1">
      <c r="A356" s="3229" t="s">
        <v>307</v>
      </c>
      <c r="B356" s="3229" t="s">
        <v>2978</v>
      </c>
      <c r="C356" s="3229">
        <v>3260</v>
      </c>
      <c r="D356" s="3229">
        <v>3230</v>
      </c>
      <c r="E356" s="3229">
        <v>3740</v>
      </c>
      <c r="F356" s="3229">
        <v>600</v>
      </c>
      <c r="G356" s="3229">
        <v>1930</v>
      </c>
    </row>
    <row r="357" spans="1:7" s="3222" customFormat="1" ht="11.4" thickBot="1">
      <c r="A357" s="3237" t="s">
        <v>307</v>
      </c>
      <c r="B357" s="3240" t="s">
        <v>3164</v>
      </c>
      <c r="C357" s="3240">
        <v>3690</v>
      </c>
      <c r="D357" s="3240">
        <v>3650</v>
      </c>
      <c r="E357" s="3240">
        <v>4020</v>
      </c>
      <c r="F357" s="3240">
        <v>700</v>
      </c>
      <c r="G357" s="3240">
        <v>2190</v>
      </c>
    </row>
    <row r="358" spans="1:7" s="3222" customFormat="1">
      <c r="A358" s="3234" t="s">
        <v>3165</v>
      </c>
      <c r="B358" s="3225" t="s">
        <v>3166</v>
      </c>
      <c r="C358" s="3225">
        <v>2080</v>
      </c>
      <c r="D358" s="3225">
        <v>2040</v>
      </c>
      <c r="E358" s="3225">
        <v>2010</v>
      </c>
      <c r="F358" s="3225">
        <v>530</v>
      </c>
      <c r="G358" s="3241">
        <v>1230</v>
      </c>
    </row>
    <row r="359" spans="1:7" s="3222" customFormat="1">
      <c r="A359" s="3229" t="s">
        <v>3165</v>
      </c>
      <c r="B359" s="3229" t="s">
        <v>3167</v>
      </c>
      <c r="C359" s="3229">
        <v>1850</v>
      </c>
      <c r="D359" s="3229">
        <v>1820</v>
      </c>
      <c r="E359" s="3229">
        <v>1780</v>
      </c>
      <c r="F359" s="3229">
        <v>520</v>
      </c>
      <c r="G359" s="3242">
        <v>1100</v>
      </c>
    </row>
    <row r="360" spans="1:7" s="3222" customFormat="1">
      <c r="A360" s="3229" t="s">
        <v>3165</v>
      </c>
      <c r="B360" s="3229" t="s">
        <v>3168</v>
      </c>
      <c r="C360" s="3229">
        <v>2020</v>
      </c>
      <c r="D360" s="3229">
        <v>1990</v>
      </c>
      <c r="E360" s="3229">
        <v>1950</v>
      </c>
      <c r="F360" s="3229">
        <v>500</v>
      </c>
      <c r="G360" s="3242">
        <v>1200</v>
      </c>
    </row>
    <row r="361" spans="1:7" s="3222" customFormat="1">
      <c r="A361" s="3229" t="s">
        <v>3165</v>
      </c>
      <c r="B361" s="3229" t="s">
        <v>153</v>
      </c>
      <c r="C361" s="3229">
        <v>2260</v>
      </c>
      <c r="D361" s="3229">
        <v>2220</v>
      </c>
      <c r="E361" s="3229">
        <v>2180</v>
      </c>
      <c r="F361" s="3229">
        <v>580</v>
      </c>
      <c r="G361" s="3242">
        <v>1340</v>
      </c>
    </row>
    <row r="362" spans="1:7" s="3222" customFormat="1">
      <c r="A362" s="3229" t="s">
        <v>3165</v>
      </c>
      <c r="B362" s="3229" t="s">
        <v>3169</v>
      </c>
      <c r="C362" s="3229">
        <v>2650</v>
      </c>
      <c r="D362" s="3229">
        <v>2610</v>
      </c>
      <c r="E362" s="3229">
        <v>2570</v>
      </c>
      <c r="F362" s="3229">
        <v>630</v>
      </c>
      <c r="G362" s="3242">
        <v>1570</v>
      </c>
    </row>
    <row r="363" spans="1:7" s="3222" customFormat="1">
      <c r="A363" s="3229" t="s">
        <v>3165</v>
      </c>
      <c r="B363" s="3229" t="s">
        <v>2890</v>
      </c>
      <c r="C363" s="3229">
        <v>2390</v>
      </c>
      <c r="D363" s="3229">
        <v>2360</v>
      </c>
      <c r="E363" s="3229">
        <v>2320</v>
      </c>
      <c r="F363" s="3229">
        <v>600</v>
      </c>
      <c r="G363" s="3242">
        <v>1420</v>
      </c>
    </row>
    <row r="364" spans="1:7" s="3222" customFormat="1">
      <c r="A364" s="3229" t="s">
        <v>3165</v>
      </c>
      <c r="B364" s="3229" t="s">
        <v>3170</v>
      </c>
      <c r="C364" s="3229">
        <v>2050</v>
      </c>
      <c r="D364" s="3229">
        <v>2030</v>
      </c>
      <c r="E364" s="3229">
        <v>1990</v>
      </c>
      <c r="F364" s="3229">
        <v>550</v>
      </c>
      <c r="G364" s="3242">
        <v>1220</v>
      </c>
    </row>
    <row r="365" spans="1:7" s="3222" customFormat="1">
      <c r="A365" s="3229" t="s">
        <v>3165</v>
      </c>
      <c r="B365" s="3229" t="s">
        <v>200</v>
      </c>
      <c r="C365" s="3229">
        <v>2140</v>
      </c>
      <c r="D365" s="3229">
        <v>2100</v>
      </c>
      <c r="E365" s="3229">
        <v>2060</v>
      </c>
      <c r="F365" s="3229">
        <v>540</v>
      </c>
      <c r="G365" s="3242">
        <v>1270</v>
      </c>
    </row>
    <row r="366" spans="1:7" s="3222" customFormat="1">
      <c r="A366" s="3229" t="s">
        <v>3165</v>
      </c>
      <c r="B366" s="3229" t="s">
        <v>2897</v>
      </c>
      <c r="C366" s="3229">
        <v>2410</v>
      </c>
      <c r="D366" s="3229">
        <v>2370</v>
      </c>
      <c r="E366" s="3229">
        <v>2330</v>
      </c>
      <c r="F366" s="3229">
        <v>570</v>
      </c>
      <c r="G366" s="3242">
        <v>1440</v>
      </c>
    </row>
    <row r="367" spans="1:7" s="3222" customFormat="1">
      <c r="A367" s="3229" t="s">
        <v>3165</v>
      </c>
      <c r="B367" s="3229" t="s">
        <v>3171</v>
      </c>
      <c r="C367" s="3229">
        <v>2300</v>
      </c>
      <c r="D367" s="3229">
        <v>2260</v>
      </c>
      <c r="E367" s="3229">
        <v>2220</v>
      </c>
      <c r="F367" s="3229">
        <v>560</v>
      </c>
      <c r="G367" s="3242">
        <v>1370</v>
      </c>
    </row>
    <row r="368" spans="1:7" s="3222" customFormat="1">
      <c r="A368" s="3229" t="s">
        <v>3165</v>
      </c>
      <c r="B368" s="3229" t="s">
        <v>3172</v>
      </c>
      <c r="C368" s="3229">
        <v>2430</v>
      </c>
      <c r="D368" s="3229">
        <v>2390</v>
      </c>
      <c r="E368" s="3229">
        <v>2350</v>
      </c>
      <c r="F368" s="3229">
        <v>570</v>
      </c>
      <c r="G368" s="3242">
        <v>1450</v>
      </c>
    </row>
    <row r="369" spans="1:7" s="3222" customFormat="1">
      <c r="A369" s="3229" t="s">
        <v>3165</v>
      </c>
      <c r="B369" s="3229" t="s">
        <v>214</v>
      </c>
      <c r="C369" s="3229">
        <v>2320</v>
      </c>
      <c r="D369" s="3229">
        <v>2290</v>
      </c>
      <c r="E369" s="3229">
        <v>2250</v>
      </c>
      <c r="F369" s="3229">
        <v>550</v>
      </c>
      <c r="G369" s="3242">
        <v>1380</v>
      </c>
    </row>
    <row r="370" spans="1:7" s="3222" customFormat="1">
      <c r="A370" s="3229" t="s">
        <v>3165</v>
      </c>
      <c r="B370" s="3229" t="s">
        <v>221</v>
      </c>
      <c r="C370" s="3229">
        <v>2190</v>
      </c>
      <c r="D370" s="3229">
        <v>2170</v>
      </c>
      <c r="E370" s="3229">
        <v>2130</v>
      </c>
      <c r="F370" s="3229">
        <v>530</v>
      </c>
      <c r="G370" s="3242">
        <v>1310</v>
      </c>
    </row>
    <row r="371" spans="1:7" s="3222" customFormat="1">
      <c r="A371" s="3229" t="s">
        <v>3165</v>
      </c>
      <c r="B371" s="3229" t="s">
        <v>229</v>
      </c>
      <c r="C371" s="3229">
        <v>2460</v>
      </c>
      <c r="D371" s="3229">
        <v>2420</v>
      </c>
      <c r="E371" s="3229">
        <v>2370</v>
      </c>
      <c r="F371" s="3229">
        <v>560</v>
      </c>
      <c r="G371" s="3242">
        <v>1470</v>
      </c>
    </row>
    <row r="372" spans="1:7" s="3222" customFormat="1">
      <c r="A372" s="3229" t="s">
        <v>3165</v>
      </c>
      <c r="B372" s="3229" t="s">
        <v>3173</v>
      </c>
      <c r="C372" s="3229">
        <v>2250</v>
      </c>
      <c r="D372" s="3229">
        <v>2210</v>
      </c>
      <c r="E372" s="3229">
        <v>2180</v>
      </c>
      <c r="F372" s="3229">
        <v>550</v>
      </c>
      <c r="G372" s="3242">
        <v>1340</v>
      </c>
    </row>
    <row r="373" spans="1:7" s="3222" customFormat="1">
      <c r="A373" s="3229" t="s">
        <v>3165</v>
      </c>
      <c r="B373" s="3229" t="s">
        <v>258</v>
      </c>
      <c r="C373" s="3229">
        <v>2210</v>
      </c>
      <c r="D373" s="3229">
        <v>2190</v>
      </c>
      <c r="E373" s="3229">
        <v>2150</v>
      </c>
      <c r="F373" s="3229">
        <v>530</v>
      </c>
      <c r="G373" s="3242">
        <v>1320</v>
      </c>
    </row>
    <row r="374" spans="1:7" s="3222" customFormat="1">
      <c r="A374" s="3229" t="s">
        <v>3165</v>
      </c>
      <c r="B374" s="3229" t="s">
        <v>266</v>
      </c>
      <c r="C374" s="3229">
        <v>2320</v>
      </c>
      <c r="D374" s="3229">
        <v>2280</v>
      </c>
      <c r="E374" s="3229">
        <v>2230</v>
      </c>
      <c r="F374" s="3229">
        <v>580</v>
      </c>
      <c r="G374" s="3242">
        <v>1380</v>
      </c>
    </row>
    <row r="375" spans="1:7" s="3222" customFormat="1">
      <c r="A375" s="3229" t="s">
        <v>3165</v>
      </c>
      <c r="B375" s="3229" t="s">
        <v>3174</v>
      </c>
      <c r="C375" s="3229">
        <v>2090</v>
      </c>
      <c r="D375" s="3229">
        <v>2050</v>
      </c>
      <c r="E375" s="3229">
        <v>2020</v>
      </c>
      <c r="F375" s="3229">
        <v>520</v>
      </c>
      <c r="G375" s="3242">
        <v>1240</v>
      </c>
    </row>
    <row r="376" spans="1:7" s="3222" customFormat="1">
      <c r="A376" s="3229" t="s">
        <v>3165</v>
      </c>
      <c r="B376" s="3229" t="s">
        <v>277</v>
      </c>
      <c r="C376" s="3229">
        <v>2010</v>
      </c>
      <c r="D376" s="3229">
        <v>1980</v>
      </c>
      <c r="E376" s="3229">
        <v>1940</v>
      </c>
      <c r="F376" s="3229">
        <v>540</v>
      </c>
      <c r="G376" s="3242">
        <v>1190</v>
      </c>
    </row>
    <row r="377" spans="1:7" s="3222" customFormat="1" ht="11.4" thickBot="1">
      <c r="A377" s="3237" t="s">
        <v>3165</v>
      </c>
      <c r="B377" s="3240" t="s">
        <v>2927</v>
      </c>
      <c r="C377" s="3240">
        <v>1930</v>
      </c>
      <c r="D377" s="3240">
        <v>1890</v>
      </c>
      <c r="E377" s="3240">
        <v>1860</v>
      </c>
      <c r="F377" s="3240">
        <v>530</v>
      </c>
      <c r="G377" s="3245">
        <v>1150</v>
      </c>
    </row>
    <row r="378" spans="1:7" s="3222" customFormat="1">
      <c r="A378" s="3246" t="s">
        <v>3175</v>
      </c>
      <c r="B378" s="3225" t="s">
        <v>3176</v>
      </c>
      <c r="C378" s="3225">
        <v>1520</v>
      </c>
      <c r="D378" s="3225">
        <v>1490</v>
      </c>
      <c r="E378" s="3225">
        <v>1460</v>
      </c>
      <c r="F378" s="3225">
        <v>460</v>
      </c>
      <c r="G378" s="3241">
        <v>940</v>
      </c>
    </row>
    <row r="379" spans="1:7" s="3222" customFormat="1">
      <c r="A379" s="3247" t="s">
        <v>3175</v>
      </c>
      <c r="B379" s="3229" t="s">
        <v>3177</v>
      </c>
      <c r="C379" s="3229">
        <v>1500</v>
      </c>
      <c r="D379" s="3229">
        <v>1470</v>
      </c>
      <c r="E379" s="3229">
        <v>1430</v>
      </c>
      <c r="F379" s="3229">
        <v>460</v>
      </c>
      <c r="G379" s="3242">
        <v>920</v>
      </c>
    </row>
    <row r="380" spans="1:7" s="3222" customFormat="1">
      <c r="A380" s="3247" t="s">
        <v>3175</v>
      </c>
      <c r="B380" s="3229" t="s">
        <v>3178</v>
      </c>
      <c r="C380" s="3229">
        <v>1620</v>
      </c>
      <c r="D380" s="3229">
        <v>1590</v>
      </c>
      <c r="E380" s="3229">
        <v>1560</v>
      </c>
      <c r="F380" s="3229">
        <v>480</v>
      </c>
      <c r="G380" s="3242">
        <v>1000</v>
      </c>
    </row>
    <row r="381" spans="1:7" s="3222" customFormat="1">
      <c r="A381" s="3247" t="s">
        <v>3175</v>
      </c>
      <c r="B381" s="3229" t="s">
        <v>3179</v>
      </c>
      <c r="C381" s="3229">
        <v>1460</v>
      </c>
      <c r="D381" s="3229">
        <v>1430</v>
      </c>
      <c r="E381" s="3229">
        <v>1390</v>
      </c>
      <c r="F381" s="3229">
        <v>450</v>
      </c>
      <c r="G381" s="3242">
        <v>900</v>
      </c>
    </row>
    <row r="382" spans="1:7" s="3222" customFormat="1">
      <c r="A382" s="3247" t="s">
        <v>3175</v>
      </c>
      <c r="B382" s="3229" t="s">
        <v>3180</v>
      </c>
      <c r="C382" s="3229">
        <v>1310</v>
      </c>
      <c r="D382" s="3229">
        <v>1280</v>
      </c>
      <c r="E382" s="3229">
        <v>1250</v>
      </c>
      <c r="F382" s="3229">
        <v>440</v>
      </c>
      <c r="G382" s="3242">
        <v>800</v>
      </c>
    </row>
    <row r="383" spans="1:7" s="3222" customFormat="1">
      <c r="A383" s="3247" t="s">
        <v>3175</v>
      </c>
      <c r="B383" s="3229" t="s">
        <v>3181</v>
      </c>
      <c r="C383" s="3229">
        <v>1260</v>
      </c>
      <c r="D383" s="3229">
        <v>1230</v>
      </c>
      <c r="E383" s="3229">
        <v>1200</v>
      </c>
      <c r="F383" s="3229">
        <v>420</v>
      </c>
      <c r="G383" s="3242">
        <v>770</v>
      </c>
    </row>
    <row r="384" spans="1:7" s="3222" customFormat="1" ht="11.4" thickBot="1">
      <c r="A384" s="3248" t="s">
        <v>3175</v>
      </c>
      <c r="B384" s="3236" t="s">
        <v>3182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917" t="s">
        <v>3183</v>
      </c>
      <c r="B1" s="3917"/>
    </row>
    <row r="2" spans="1:7" ht="15" thickBot="1">
      <c r="A2" s="3251"/>
      <c r="B2" s="3251"/>
    </row>
    <row r="3" spans="1:7" ht="15" thickBot="1">
      <c r="A3" s="3251"/>
      <c r="B3" s="3251"/>
      <c r="C3" s="3252" t="s">
        <v>2809</v>
      </c>
      <c r="D3" s="3252" t="s">
        <v>2869</v>
      </c>
      <c r="E3" s="3252" t="s">
        <v>2811</v>
      </c>
      <c r="F3" s="3252" t="s">
        <v>2870</v>
      </c>
      <c r="G3" s="3252" t="s">
        <v>2629</v>
      </c>
    </row>
    <row r="4" spans="1:7" ht="15" thickBot="1">
      <c r="A4" s="3253" t="s">
        <v>2868</v>
      </c>
      <c r="B4" s="3254" t="s">
        <v>2874</v>
      </c>
      <c r="C4" s="3252"/>
      <c r="D4" s="3252"/>
      <c r="E4" s="3252"/>
      <c r="F4" s="3252"/>
      <c r="G4" s="3252"/>
    </row>
    <row r="5" spans="1:7">
      <c r="A5" s="3255" t="s">
        <v>2842</v>
      </c>
      <c r="B5" s="3256" t="s">
        <v>2856</v>
      </c>
      <c r="C5" s="3257">
        <v>9.8000000000000004E-2</v>
      </c>
      <c r="D5" s="3257">
        <v>8.6999999999999994E-2</v>
      </c>
      <c r="E5" s="3257">
        <v>8.6999999999999994E-2</v>
      </c>
      <c r="F5" s="3257">
        <v>9.8000000000000004E-2</v>
      </c>
      <c r="G5" s="3258">
        <v>9.5000000000000001E-2</v>
      </c>
    </row>
    <row r="6" spans="1:7">
      <c r="A6" s="3259" t="s">
        <v>144</v>
      </c>
      <c r="B6" s="3260" t="s">
        <v>2871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2925</v>
      </c>
      <c r="C29" s="3269"/>
      <c r="D29" s="3265">
        <v>5.1999999999999998E-2</v>
      </c>
      <c r="E29" s="3265">
        <v>7.0000000000000007E-2</v>
      </c>
      <c r="F29" s="3269"/>
      <c r="G29" s="3267">
        <v>7.0999999999999994E-2</v>
      </c>
    </row>
    <row r="30" spans="1:7">
      <c r="A30" s="3270" t="s">
        <v>296</v>
      </c>
      <c r="B30" s="3256" t="s">
        <v>2858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2928</v>
      </c>
      <c r="C50" s="3261">
        <v>9.8000000000000004E-2</v>
      </c>
      <c r="D50" s="3261">
        <v>7.2999999999999995E-2</v>
      </c>
      <c r="E50" s="3261">
        <v>7.0999999999999994E-2</v>
      </c>
      <c r="F50" s="3272"/>
      <c r="G50" s="3262">
        <v>7.2999999999999995E-2</v>
      </c>
    </row>
    <row r="51" spans="1:7">
      <c r="A51" s="3271" t="s">
        <v>296</v>
      </c>
      <c r="B51" s="3260" t="s">
        <v>2930</v>
      </c>
      <c r="C51" s="3261">
        <v>9.9000000000000005E-2</v>
      </c>
      <c r="D51" s="3261">
        <v>8.5000000000000006E-2</v>
      </c>
      <c r="E51" s="3261">
        <v>6.3E-2</v>
      </c>
      <c r="F51" s="3272"/>
      <c r="G51" s="3262">
        <v>9.6000000000000002E-2</v>
      </c>
    </row>
    <row r="52" spans="1:7">
      <c r="A52" s="3271" t="s">
        <v>296</v>
      </c>
      <c r="B52" s="3260" t="s">
        <v>2934</v>
      </c>
      <c r="C52" s="3261">
        <v>7.3999999999999996E-2</v>
      </c>
      <c r="D52" s="3261">
        <v>9.6000000000000002E-2</v>
      </c>
      <c r="E52" s="3261">
        <v>0.05</v>
      </c>
      <c r="F52" s="3272"/>
      <c r="G52" s="3262">
        <v>9.8000000000000004E-2</v>
      </c>
    </row>
    <row r="53" spans="1:7">
      <c r="A53" s="3271" t="s">
        <v>296</v>
      </c>
      <c r="B53" s="3260" t="s">
        <v>2939</v>
      </c>
      <c r="C53" s="3261">
        <v>8.5999999999999993E-2</v>
      </c>
      <c r="D53" s="3272"/>
      <c r="E53" s="3261">
        <v>9.1999999999999998E-2</v>
      </c>
      <c r="F53" s="3272"/>
      <c r="G53" s="3273"/>
    </row>
    <row r="54" spans="1:7" ht="15" thickBot="1">
      <c r="A54" s="3274" t="s">
        <v>296</v>
      </c>
      <c r="B54" s="3264" t="s">
        <v>2942</v>
      </c>
      <c r="C54" s="3265">
        <v>9.6000000000000002E-2</v>
      </c>
      <c r="D54" s="3266"/>
      <c r="E54" s="3275"/>
      <c r="F54" s="3266"/>
      <c r="G54" s="3276"/>
    </row>
    <row r="55" spans="1:7">
      <c r="A55" s="3270" t="s">
        <v>110</v>
      </c>
      <c r="B55" s="3256" t="s">
        <v>2859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2940</v>
      </c>
      <c r="C78" s="3261">
        <v>0.1</v>
      </c>
      <c r="D78" s="3261">
        <v>8.5000000000000006E-2</v>
      </c>
      <c r="E78" s="3261">
        <v>9.6000000000000002E-2</v>
      </c>
      <c r="F78" s="3272"/>
      <c r="G78" s="3262">
        <v>9.6000000000000002E-2</v>
      </c>
    </row>
    <row r="79" spans="1:7">
      <c r="A79" s="3271" t="s">
        <v>110</v>
      </c>
      <c r="B79" s="3260" t="s">
        <v>2943</v>
      </c>
      <c r="C79" s="3261">
        <v>0.05</v>
      </c>
      <c r="D79" s="3261">
        <v>9.6000000000000002E-2</v>
      </c>
      <c r="E79" s="3261">
        <v>9.5000000000000001E-2</v>
      </c>
      <c r="F79" s="3272"/>
      <c r="G79" s="3262">
        <v>9.8000000000000004E-2</v>
      </c>
    </row>
    <row r="80" spans="1:7">
      <c r="A80" s="3271" t="s">
        <v>110</v>
      </c>
      <c r="B80" s="3260" t="s">
        <v>2947</v>
      </c>
      <c r="C80" s="3261">
        <v>8.5999999999999993E-2</v>
      </c>
      <c r="D80" s="3277"/>
      <c r="E80" s="3261">
        <v>0.1</v>
      </c>
      <c r="F80" s="3272"/>
      <c r="G80" s="3273"/>
    </row>
    <row r="81" spans="1:7">
      <c r="A81" s="3271" t="s">
        <v>110</v>
      </c>
      <c r="B81" s="3260" t="s">
        <v>2952</v>
      </c>
      <c r="C81" s="3261">
        <v>9.6000000000000002E-2</v>
      </c>
      <c r="D81" s="3272"/>
      <c r="E81" s="3261">
        <v>9.8000000000000004E-2</v>
      </c>
      <c r="F81" s="3272"/>
      <c r="G81" s="3273"/>
    </row>
    <row r="82" spans="1:7">
      <c r="A82" s="3271" t="s">
        <v>110</v>
      </c>
      <c r="B82" s="3260" t="s">
        <v>2959</v>
      </c>
      <c r="C82" s="3277"/>
      <c r="D82" s="3272"/>
      <c r="E82" s="3261">
        <v>7.6999999999999999E-2</v>
      </c>
      <c r="F82" s="3272"/>
      <c r="G82" s="3273"/>
    </row>
    <row r="83" spans="1:7">
      <c r="A83" s="3271" t="s">
        <v>110</v>
      </c>
      <c r="B83" s="3260" t="s">
        <v>2965</v>
      </c>
      <c r="C83" s="3272"/>
      <c r="D83" s="3272"/>
      <c r="E83" s="3272"/>
      <c r="F83" s="3261">
        <v>0.1</v>
      </c>
      <c r="G83" s="3278"/>
    </row>
    <row r="84" spans="1:7">
      <c r="A84" s="3271" t="s">
        <v>110</v>
      </c>
      <c r="B84" s="3260" t="s">
        <v>2972</v>
      </c>
      <c r="C84" s="3272"/>
      <c r="D84" s="3272"/>
      <c r="E84" s="3272"/>
      <c r="F84" s="3261">
        <v>0.1</v>
      </c>
      <c r="G84" s="3278"/>
    </row>
    <row r="85" spans="1:7">
      <c r="A85" s="3271" t="s">
        <v>110</v>
      </c>
      <c r="B85" s="3260" t="s">
        <v>2979</v>
      </c>
      <c r="C85" s="3272"/>
      <c r="D85" s="3272"/>
      <c r="E85" s="3272"/>
      <c r="F85" s="3261">
        <v>0.1</v>
      </c>
      <c r="G85" s="3278"/>
    </row>
    <row r="86" spans="1:7" ht="15" thickBot="1">
      <c r="A86" s="3274" t="s">
        <v>110</v>
      </c>
      <c r="B86" s="3264" t="s">
        <v>2984</v>
      </c>
      <c r="C86" s="3265">
        <v>9.8000000000000004E-2</v>
      </c>
      <c r="D86" s="3265">
        <v>9.8000000000000004E-2</v>
      </c>
      <c r="E86" s="3265">
        <v>9.6000000000000002E-2</v>
      </c>
      <c r="F86" s="3275"/>
      <c r="G86" s="3267">
        <v>0.1</v>
      </c>
    </row>
    <row r="87" spans="1:7">
      <c r="A87" s="3270" t="s">
        <v>303</v>
      </c>
      <c r="B87" s="3256" t="s">
        <v>2860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2953</v>
      </c>
      <c r="C113" s="3261">
        <v>0.1</v>
      </c>
      <c r="D113" s="3261">
        <v>0.1</v>
      </c>
      <c r="E113" s="3272"/>
      <c r="F113" s="3272"/>
      <c r="G113" s="3262">
        <v>0.1</v>
      </c>
    </row>
    <row r="114" spans="1:7">
      <c r="A114" s="3271" t="s">
        <v>303</v>
      </c>
      <c r="B114" s="3260" t="s">
        <v>2960</v>
      </c>
      <c r="C114" s="3261">
        <v>9.7000000000000003E-2</v>
      </c>
      <c r="D114" s="3261">
        <v>9.7000000000000003E-2</v>
      </c>
      <c r="E114" s="3272"/>
      <c r="F114" s="3272"/>
      <c r="G114" s="3262">
        <v>9.9000000000000005E-2</v>
      </c>
    </row>
    <row r="115" spans="1:7">
      <c r="A115" s="3271" t="s">
        <v>303</v>
      </c>
      <c r="B115" s="3260" t="s">
        <v>2966</v>
      </c>
      <c r="C115" s="3261">
        <v>0.1</v>
      </c>
      <c r="D115" s="3261">
        <v>0.1</v>
      </c>
      <c r="E115" s="3272"/>
      <c r="F115" s="3272"/>
      <c r="G115" s="3262">
        <v>0.1</v>
      </c>
    </row>
    <row r="116" spans="1:7">
      <c r="A116" s="3271" t="s">
        <v>303</v>
      </c>
      <c r="B116" s="3260" t="s">
        <v>2973</v>
      </c>
      <c r="C116" s="3261">
        <v>0.1</v>
      </c>
      <c r="D116" s="3261">
        <v>0.1</v>
      </c>
      <c r="E116" s="3272"/>
      <c r="F116" s="3272"/>
      <c r="G116" s="3262">
        <v>0.1</v>
      </c>
    </row>
    <row r="117" spans="1:7">
      <c r="A117" s="3271" t="s">
        <v>303</v>
      </c>
      <c r="B117" s="3260" t="s">
        <v>2980</v>
      </c>
      <c r="C117" s="3261">
        <v>9.7000000000000003E-2</v>
      </c>
      <c r="D117" s="3261">
        <v>9.7000000000000003E-2</v>
      </c>
      <c r="E117" s="3272"/>
      <c r="F117" s="3272"/>
      <c r="G117" s="3262">
        <v>9.7000000000000003E-2</v>
      </c>
    </row>
    <row r="118" spans="1:7">
      <c r="A118" s="3271" t="s">
        <v>303</v>
      </c>
      <c r="B118" s="3260" t="s">
        <v>2985</v>
      </c>
      <c r="C118" s="3261">
        <v>0.1</v>
      </c>
      <c r="D118" s="3261">
        <v>0.1</v>
      </c>
      <c r="E118" s="3272"/>
      <c r="F118" s="3272"/>
      <c r="G118" s="3262">
        <v>0.1</v>
      </c>
    </row>
    <row r="119" spans="1:7">
      <c r="A119" s="3271" t="s">
        <v>303</v>
      </c>
      <c r="B119" s="3260" t="s">
        <v>2989</v>
      </c>
      <c r="C119" s="3261">
        <v>5.0999999999999997E-2</v>
      </c>
      <c r="D119" s="3261">
        <v>5.1999999999999998E-2</v>
      </c>
      <c r="E119" s="3272"/>
      <c r="F119" s="3277"/>
      <c r="G119" s="3262">
        <v>0.06</v>
      </c>
    </row>
    <row r="120" spans="1:7">
      <c r="A120" s="3271" t="s">
        <v>303</v>
      </c>
      <c r="B120" s="3260" t="s">
        <v>2993</v>
      </c>
      <c r="C120" s="3272"/>
      <c r="D120" s="3272"/>
      <c r="E120" s="3272"/>
      <c r="F120" s="3261">
        <v>0.1</v>
      </c>
      <c r="G120" s="3278"/>
    </row>
    <row r="121" spans="1:7">
      <c r="A121" s="3271" t="s">
        <v>303</v>
      </c>
      <c r="B121" s="3260" t="s">
        <v>2998</v>
      </c>
      <c r="C121" s="3272"/>
      <c r="D121" s="3272"/>
      <c r="E121" s="3272"/>
      <c r="F121" s="3261">
        <v>0.1</v>
      </c>
      <c r="G121" s="3278"/>
    </row>
    <row r="122" spans="1:7">
      <c r="A122" s="3271" t="s">
        <v>303</v>
      </c>
      <c r="B122" s="3260" t="s">
        <v>3003</v>
      </c>
      <c r="C122" s="3261">
        <v>0.1</v>
      </c>
      <c r="D122" s="3261">
        <v>0.1</v>
      </c>
      <c r="E122" s="3261">
        <v>9.8000000000000004E-2</v>
      </c>
      <c r="F122" s="3261">
        <v>0.1</v>
      </c>
      <c r="G122" s="3262">
        <v>0.1</v>
      </c>
    </row>
    <row r="123" spans="1:7">
      <c r="A123" s="3271" t="s">
        <v>303</v>
      </c>
      <c r="B123" s="3260" t="s">
        <v>3008</v>
      </c>
      <c r="C123" s="3261">
        <v>0.1</v>
      </c>
      <c r="D123" s="3261">
        <v>0.1</v>
      </c>
      <c r="E123" s="3261">
        <v>9.8000000000000004E-2</v>
      </c>
      <c r="F123" s="3261">
        <v>0.1</v>
      </c>
      <c r="G123" s="3262">
        <v>0.1</v>
      </c>
    </row>
    <row r="124" spans="1:7">
      <c r="A124" s="3271" t="s">
        <v>303</v>
      </c>
      <c r="B124" s="3260" t="s">
        <v>3013</v>
      </c>
      <c r="C124" s="3261">
        <v>0.1</v>
      </c>
      <c r="D124" s="3261">
        <v>0.1</v>
      </c>
      <c r="E124" s="3261">
        <v>9.8000000000000004E-2</v>
      </c>
      <c r="F124" s="3277"/>
      <c r="G124" s="3262">
        <v>0.1</v>
      </c>
    </row>
    <row r="125" spans="1:7">
      <c r="A125" s="3271" t="s">
        <v>303</v>
      </c>
      <c r="B125" s="3260" t="s">
        <v>3018</v>
      </c>
      <c r="C125" s="3261">
        <v>9.8000000000000004E-2</v>
      </c>
      <c r="D125" s="3261">
        <v>9.8000000000000004E-2</v>
      </c>
      <c r="E125" s="3261">
        <v>9.6000000000000002E-2</v>
      </c>
      <c r="F125" s="3277"/>
      <c r="G125" s="3262">
        <v>0.1</v>
      </c>
    </row>
    <row r="126" spans="1:7" ht="15" thickBot="1">
      <c r="A126" s="3274" t="s">
        <v>303</v>
      </c>
      <c r="B126" s="3264" t="s">
        <v>3184</v>
      </c>
      <c r="C126" s="3265">
        <v>0.1</v>
      </c>
      <c r="D126" s="3265">
        <v>0.1</v>
      </c>
      <c r="E126" s="3265">
        <v>9.8000000000000004E-2</v>
      </c>
      <c r="F126" s="3265">
        <v>0.1</v>
      </c>
      <c r="G126" s="3267">
        <v>0.1</v>
      </c>
    </row>
    <row r="127" spans="1:7">
      <c r="A127" s="3270" t="s">
        <v>29</v>
      </c>
      <c r="B127" s="3256" t="s">
        <v>2861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2931</v>
      </c>
      <c r="C148" s="3261">
        <v>0.13</v>
      </c>
      <c r="D148" s="3261">
        <v>0.13</v>
      </c>
      <c r="E148" s="3261">
        <v>0.13</v>
      </c>
      <c r="F148" s="3272"/>
      <c r="G148" s="3262">
        <v>0.13</v>
      </c>
    </row>
    <row r="149" spans="1:7">
      <c r="A149" s="3271" t="s">
        <v>29</v>
      </c>
      <c r="B149" s="3260" t="s">
        <v>2935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2954</v>
      </c>
      <c r="C153" s="3261">
        <v>0.13</v>
      </c>
      <c r="D153" s="3261">
        <v>0.13</v>
      </c>
      <c r="E153" s="3261">
        <v>0.13</v>
      </c>
      <c r="F153" s="3261">
        <v>0.13</v>
      </c>
      <c r="G153" s="3262">
        <v>0.13</v>
      </c>
    </row>
    <row r="154" spans="1:7">
      <c r="A154" s="3271" t="s">
        <v>29</v>
      </c>
      <c r="B154" s="3260" t="s">
        <v>2961</v>
      </c>
      <c r="C154" s="3261">
        <v>0.121</v>
      </c>
      <c r="D154" s="3261">
        <v>0.121</v>
      </c>
      <c r="E154" s="3261">
        <v>0.105</v>
      </c>
      <c r="F154" s="3261">
        <v>0.121</v>
      </c>
      <c r="G154" s="3262">
        <v>0.123</v>
      </c>
    </row>
    <row r="155" spans="1:7">
      <c r="A155" s="3271" t="s">
        <v>29</v>
      </c>
      <c r="B155" s="3260" t="s">
        <v>2967</v>
      </c>
      <c r="C155" s="3261">
        <v>0.1</v>
      </c>
      <c r="D155" s="3261">
        <v>0.1</v>
      </c>
      <c r="E155" s="3261">
        <v>0.1</v>
      </c>
      <c r="F155" s="3261">
        <v>0.1</v>
      </c>
      <c r="G155" s="3262">
        <v>0.1</v>
      </c>
    </row>
    <row r="156" spans="1:7">
      <c r="A156" s="3271" t="s">
        <v>29</v>
      </c>
      <c r="B156" s="3260" t="s">
        <v>2974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2994</v>
      </c>
      <c r="C160" s="3261">
        <v>0.13</v>
      </c>
      <c r="D160" s="3261">
        <v>0.13</v>
      </c>
      <c r="E160" s="3261">
        <v>0.124</v>
      </c>
      <c r="F160" s="3261">
        <v>0.126</v>
      </c>
      <c r="G160" s="3262">
        <v>0.13</v>
      </c>
    </row>
    <row r="161" spans="1:7">
      <c r="A161" s="3271" t="s">
        <v>29</v>
      </c>
      <c r="B161" s="3260" t="s">
        <v>2999</v>
      </c>
      <c r="C161" s="3261">
        <v>0.13</v>
      </c>
      <c r="D161" s="3261">
        <v>0.13</v>
      </c>
      <c r="E161" s="3261">
        <v>0.124</v>
      </c>
      <c r="F161" s="3261">
        <v>0.127</v>
      </c>
      <c r="G161" s="3262">
        <v>0.13</v>
      </c>
    </row>
    <row r="162" spans="1:7">
      <c r="A162" s="3271" t="s">
        <v>29</v>
      </c>
      <c r="B162" s="3260" t="s">
        <v>3004</v>
      </c>
      <c r="C162" s="3261">
        <v>0.1</v>
      </c>
      <c r="D162" s="3261">
        <v>0.1</v>
      </c>
      <c r="E162" s="3261">
        <v>0.1</v>
      </c>
      <c r="F162" s="3261">
        <v>0.121</v>
      </c>
      <c r="G162" s="3262">
        <v>0.105</v>
      </c>
    </row>
    <row r="163" spans="1:7">
      <c r="A163" s="3271" t="s">
        <v>29</v>
      </c>
      <c r="B163" s="3260" t="s">
        <v>3009</v>
      </c>
      <c r="C163" s="3261">
        <v>0.1</v>
      </c>
      <c r="D163" s="3261">
        <v>0.1</v>
      </c>
      <c r="E163" s="3261">
        <v>0.1</v>
      </c>
      <c r="F163" s="3261">
        <v>0.1</v>
      </c>
      <c r="G163" s="3262">
        <v>0.1</v>
      </c>
    </row>
    <row r="164" spans="1:7">
      <c r="A164" s="3271" t="s">
        <v>29</v>
      </c>
      <c r="B164" s="3260" t="s">
        <v>3014</v>
      </c>
      <c r="C164" s="3277"/>
      <c r="D164" s="3277"/>
      <c r="E164" s="3277"/>
      <c r="F164" s="3261">
        <v>0.1</v>
      </c>
      <c r="G164" s="3273"/>
    </row>
    <row r="165" spans="1:7">
      <c r="A165" s="3271" t="s">
        <v>29</v>
      </c>
      <c r="B165" s="3260" t="s">
        <v>3185</v>
      </c>
      <c r="C165" s="3261">
        <v>0.126</v>
      </c>
      <c r="D165" s="3261">
        <v>0.126</v>
      </c>
      <c r="E165" s="3261">
        <v>0.11899999999999999</v>
      </c>
      <c r="F165" s="3261">
        <v>0.13</v>
      </c>
      <c r="G165" s="3262">
        <v>0.128</v>
      </c>
    </row>
    <row r="166" spans="1:7">
      <c r="A166" s="3271" t="s">
        <v>29</v>
      </c>
      <c r="B166" s="3260" t="s">
        <v>3024</v>
      </c>
      <c r="C166" s="3261">
        <v>0.129</v>
      </c>
      <c r="D166" s="3261">
        <v>0.129</v>
      </c>
      <c r="E166" s="3261">
        <v>0.123</v>
      </c>
      <c r="F166" s="3261">
        <v>0.128</v>
      </c>
      <c r="G166" s="3262">
        <v>0.13</v>
      </c>
    </row>
    <row r="167" spans="1:7">
      <c r="A167" s="3271" t="s">
        <v>29</v>
      </c>
      <c r="B167" s="3260" t="s">
        <v>3028</v>
      </c>
      <c r="C167" s="3261">
        <v>0.125</v>
      </c>
      <c r="D167" s="3261">
        <v>0.125</v>
      </c>
      <c r="E167" s="3261">
        <v>0.11700000000000001</v>
      </c>
      <c r="F167" s="3261">
        <v>0.13</v>
      </c>
      <c r="G167" s="3262">
        <v>0.126</v>
      </c>
    </row>
    <row r="168" spans="1:7">
      <c r="A168" s="3271" t="s">
        <v>29</v>
      </c>
      <c r="B168" s="3260" t="s">
        <v>3033</v>
      </c>
      <c r="C168" s="3261">
        <v>0.128</v>
      </c>
      <c r="D168" s="3261">
        <v>0.128</v>
      </c>
      <c r="E168" s="3261">
        <v>0.123</v>
      </c>
      <c r="F168" s="3272"/>
      <c r="G168" s="3262">
        <v>0.13</v>
      </c>
    </row>
    <row r="169" spans="1:7">
      <c r="A169" s="3271" t="s">
        <v>29</v>
      </c>
      <c r="B169" s="3260" t="s">
        <v>3186</v>
      </c>
      <c r="C169" s="3277"/>
      <c r="D169" s="3277"/>
      <c r="E169" s="3277"/>
      <c r="F169" s="3261">
        <v>0.05</v>
      </c>
      <c r="G169" s="3273"/>
    </row>
    <row r="170" spans="1:7">
      <c r="A170" s="3271" t="s">
        <v>29</v>
      </c>
      <c r="B170" s="3260" t="s">
        <v>3187</v>
      </c>
      <c r="C170" s="3277"/>
      <c r="D170" s="3277"/>
      <c r="E170" s="3277"/>
      <c r="F170" s="3261">
        <v>0.05</v>
      </c>
      <c r="G170" s="3273"/>
    </row>
    <row r="171" spans="1:7">
      <c r="A171" s="3271" t="s">
        <v>29</v>
      </c>
      <c r="B171" s="3260" t="s">
        <v>3188</v>
      </c>
      <c r="C171" s="3277"/>
      <c r="D171" s="3277"/>
      <c r="E171" s="3277"/>
      <c r="F171" s="3261">
        <v>0.05</v>
      </c>
      <c r="G171" s="3278"/>
    </row>
    <row r="172" spans="1:7">
      <c r="A172" s="3271" t="s">
        <v>29</v>
      </c>
      <c r="B172" s="3260" t="s">
        <v>3189</v>
      </c>
      <c r="C172" s="3277"/>
      <c r="D172" s="3277"/>
      <c r="E172" s="3277"/>
      <c r="F172" s="3261">
        <v>0.05</v>
      </c>
      <c r="G172" s="3278"/>
    </row>
    <row r="173" spans="1:7">
      <c r="A173" s="3271" t="s">
        <v>29</v>
      </c>
      <c r="B173" s="3260" t="s">
        <v>3190</v>
      </c>
      <c r="C173" s="3277"/>
      <c r="D173" s="3277"/>
      <c r="E173" s="3277"/>
      <c r="F173" s="3261">
        <v>0.05</v>
      </c>
      <c r="G173" s="3273"/>
    </row>
    <row r="174" spans="1:7">
      <c r="A174" s="3271" t="s">
        <v>29</v>
      </c>
      <c r="B174" s="3260" t="s">
        <v>3191</v>
      </c>
      <c r="C174" s="3277"/>
      <c r="D174" s="3277"/>
      <c r="E174" s="3277"/>
      <c r="F174" s="3261">
        <v>0.05</v>
      </c>
      <c r="G174" s="3273"/>
    </row>
    <row r="175" spans="1:7">
      <c r="A175" s="3271" t="s">
        <v>29</v>
      </c>
      <c r="B175" s="3260" t="s">
        <v>3192</v>
      </c>
      <c r="C175" s="3277"/>
      <c r="D175" s="3277"/>
      <c r="E175" s="3277"/>
      <c r="F175" s="3261">
        <v>0.05</v>
      </c>
      <c r="G175" s="3273"/>
    </row>
    <row r="176" spans="1:7">
      <c r="A176" s="3271" t="s">
        <v>29</v>
      </c>
      <c r="B176" s="3260" t="s">
        <v>3193</v>
      </c>
      <c r="C176" s="3277"/>
      <c r="D176" s="3277"/>
      <c r="E176" s="3277"/>
      <c r="F176" s="3261">
        <v>0.05</v>
      </c>
      <c r="G176" s="3273"/>
    </row>
    <row r="177" spans="1:7">
      <c r="A177" s="3271" t="s">
        <v>29</v>
      </c>
      <c r="B177" s="3260" t="s">
        <v>3194</v>
      </c>
      <c r="C177" s="3272"/>
      <c r="D177" s="3272"/>
      <c r="E177" s="3272"/>
      <c r="F177" s="3261">
        <v>0.05</v>
      </c>
      <c r="G177" s="3278"/>
    </row>
    <row r="178" spans="1:7">
      <c r="A178" s="3271" t="s">
        <v>29</v>
      </c>
      <c r="B178" s="3260" t="s">
        <v>3195</v>
      </c>
      <c r="C178" s="3272"/>
      <c r="D178" s="3272"/>
      <c r="E178" s="3272"/>
      <c r="F178" s="3261">
        <v>0.05</v>
      </c>
      <c r="G178" s="3278"/>
    </row>
    <row r="179" spans="1:7">
      <c r="A179" s="3271" t="s">
        <v>29</v>
      </c>
      <c r="B179" s="3260" t="s">
        <v>3196</v>
      </c>
      <c r="C179" s="3272"/>
      <c r="D179" s="3272"/>
      <c r="E179" s="3272"/>
      <c r="F179" s="3261">
        <v>0.05</v>
      </c>
      <c r="G179" s="3278"/>
    </row>
    <row r="180" spans="1:7">
      <c r="A180" s="3271" t="s">
        <v>29</v>
      </c>
      <c r="B180" s="3260" t="s">
        <v>3197</v>
      </c>
      <c r="C180" s="3272"/>
      <c r="D180" s="3272"/>
      <c r="E180" s="3272"/>
      <c r="F180" s="3261">
        <v>0.05</v>
      </c>
      <c r="G180" s="3278"/>
    </row>
    <row r="181" spans="1:7">
      <c r="A181" s="3271" t="s">
        <v>29</v>
      </c>
      <c r="B181" s="3260" t="s">
        <v>3198</v>
      </c>
      <c r="C181" s="3272"/>
      <c r="D181" s="3272"/>
      <c r="E181" s="3272"/>
      <c r="F181" s="3261">
        <v>0.05</v>
      </c>
      <c r="G181" s="3278"/>
    </row>
    <row r="182" spans="1:7">
      <c r="A182" s="3271" t="s">
        <v>29</v>
      </c>
      <c r="B182" s="3260" t="s">
        <v>3199</v>
      </c>
      <c r="C182" s="3272"/>
      <c r="D182" s="3272"/>
      <c r="E182" s="3272"/>
      <c r="F182" s="3261">
        <v>0.05</v>
      </c>
      <c r="G182" s="3278"/>
    </row>
    <row r="183" spans="1:7">
      <c r="A183" s="3271" t="s">
        <v>29</v>
      </c>
      <c r="B183" s="3260" t="s">
        <v>3200</v>
      </c>
      <c r="C183" s="3272"/>
      <c r="D183" s="3272"/>
      <c r="E183" s="3272"/>
      <c r="F183" s="3261">
        <v>0.05</v>
      </c>
      <c r="G183" s="3278"/>
    </row>
    <row r="184" spans="1:7">
      <c r="A184" s="3271" t="s">
        <v>29</v>
      </c>
      <c r="B184" s="3260" t="s">
        <v>3201</v>
      </c>
      <c r="C184" s="3272"/>
      <c r="D184" s="3272"/>
      <c r="E184" s="3272"/>
      <c r="F184" s="3261">
        <v>0.05</v>
      </c>
      <c r="G184" s="3278"/>
    </row>
    <row r="185" spans="1:7">
      <c r="A185" s="3271" t="s">
        <v>29</v>
      </c>
      <c r="B185" s="3260" t="s">
        <v>3202</v>
      </c>
      <c r="C185" s="3272"/>
      <c r="D185" s="3272"/>
      <c r="E185" s="3272"/>
      <c r="F185" s="3261">
        <v>0.05</v>
      </c>
      <c r="G185" s="3278"/>
    </row>
    <row r="186" spans="1:7">
      <c r="A186" s="3271" t="s">
        <v>29</v>
      </c>
      <c r="B186" s="3260" t="s">
        <v>3203</v>
      </c>
      <c r="C186" s="3272"/>
      <c r="D186" s="3272"/>
      <c r="E186" s="3272"/>
      <c r="F186" s="3261">
        <v>0.05</v>
      </c>
      <c r="G186" s="3278"/>
    </row>
    <row r="187" spans="1:7">
      <c r="A187" s="3271" t="s">
        <v>29</v>
      </c>
      <c r="B187" s="3260" t="s">
        <v>3204</v>
      </c>
      <c r="C187" s="3272"/>
      <c r="D187" s="3272"/>
      <c r="E187" s="3272"/>
      <c r="F187" s="3261">
        <v>0.05</v>
      </c>
      <c r="G187" s="3278"/>
    </row>
    <row r="188" spans="1:7">
      <c r="A188" s="3271" t="s">
        <v>29</v>
      </c>
      <c r="B188" s="3260" t="s">
        <v>3205</v>
      </c>
      <c r="C188" s="3272"/>
      <c r="D188" s="3272"/>
      <c r="E188" s="3272"/>
      <c r="F188" s="3261">
        <v>0.05</v>
      </c>
      <c r="G188" s="3278"/>
    </row>
    <row r="189" spans="1:7" ht="15" thickBot="1">
      <c r="A189" s="3274" t="s">
        <v>29</v>
      </c>
      <c r="B189" s="3264" t="s">
        <v>3206</v>
      </c>
      <c r="C189" s="3266"/>
      <c r="D189" s="3266"/>
      <c r="E189" s="3266"/>
      <c r="F189" s="3265">
        <v>0.05</v>
      </c>
      <c r="G189" s="3279"/>
    </row>
    <row r="190" spans="1:7">
      <c r="A190" s="3270" t="s">
        <v>304</v>
      </c>
      <c r="B190" s="3256" t="s">
        <v>2862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2898</v>
      </c>
      <c r="C199" s="3261">
        <v>0.13</v>
      </c>
      <c r="D199" s="3261">
        <v>0.13</v>
      </c>
      <c r="E199" s="3261">
        <v>0.13</v>
      </c>
      <c r="F199" s="3261">
        <v>0.13</v>
      </c>
      <c r="G199" s="3262">
        <v>0.13</v>
      </c>
    </row>
    <row r="200" spans="1:7">
      <c r="A200" s="3271" t="s">
        <v>304</v>
      </c>
      <c r="B200" s="3260" t="s">
        <v>2901</v>
      </c>
      <c r="C200" s="3277"/>
      <c r="D200" s="3277"/>
      <c r="E200" s="3277"/>
      <c r="F200" s="3261">
        <v>0.13</v>
      </c>
      <c r="G200" s="3273"/>
    </row>
    <row r="201" spans="1:7">
      <c r="A201" s="3271" t="s">
        <v>304</v>
      </c>
      <c r="B201" s="3260" t="s">
        <v>2906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2909</v>
      </c>
      <c r="C203" s="3261">
        <v>0.129</v>
      </c>
      <c r="D203" s="3261">
        <v>0.129</v>
      </c>
      <c r="E203" s="3261">
        <v>0.13</v>
      </c>
      <c r="F203" s="3261">
        <v>0.13</v>
      </c>
      <c r="G203" s="3262">
        <v>0.13</v>
      </c>
    </row>
    <row r="204" spans="1:7">
      <c r="A204" s="3271" t="s">
        <v>304</v>
      </c>
      <c r="B204" s="3260" t="s">
        <v>2912</v>
      </c>
      <c r="C204" s="3261">
        <v>0.129</v>
      </c>
      <c r="D204" s="3261">
        <v>0.129</v>
      </c>
      <c r="E204" s="3261">
        <v>0.123</v>
      </c>
      <c r="F204" s="3261">
        <v>0.13</v>
      </c>
      <c r="G204" s="3262">
        <v>0.13</v>
      </c>
    </row>
    <row r="205" spans="1:7">
      <c r="A205" s="3271" t="s">
        <v>304</v>
      </c>
      <c r="B205" s="3260" t="s">
        <v>2914</v>
      </c>
      <c r="C205" s="3261">
        <v>0.13</v>
      </c>
      <c r="D205" s="3261">
        <v>0.13</v>
      </c>
      <c r="E205" s="3261">
        <v>0.13</v>
      </c>
      <c r="F205" s="3261">
        <v>0.13</v>
      </c>
      <c r="G205" s="3262">
        <v>0.13</v>
      </c>
    </row>
    <row r="206" spans="1:7">
      <c r="A206" s="3271" t="s">
        <v>304</v>
      </c>
      <c r="B206" s="3260" t="s">
        <v>2917</v>
      </c>
      <c r="C206" s="3261">
        <v>0.13</v>
      </c>
      <c r="D206" s="3261">
        <v>0.13</v>
      </c>
      <c r="E206" s="3261">
        <v>0.13</v>
      </c>
      <c r="F206" s="3261">
        <v>0.128</v>
      </c>
      <c r="G206" s="3262">
        <v>0.13</v>
      </c>
    </row>
    <row r="207" spans="1:7">
      <c r="A207" s="3271" t="s">
        <v>304</v>
      </c>
      <c r="B207" s="3260" t="s">
        <v>2919</v>
      </c>
      <c r="C207" s="3261">
        <v>0.13</v>
      </c>
      <c r="D207" s="3261">
        <v>0.13</v>
      </c>
      <c r="E207" s="3261">
        <v>0.13</v>
      </c>
      <c r="F207" s="3261">
        <v>0.13</v>
      </c>
      <c r="G207" s="3262">
        <v>0.13</v>
      </c>
    </row>
    <row r="208" spans="1:7">
      <c r="A208" s="3271" t="s">
        <v>304</v>
      </c>
      <c r="B208" s="3260" t="s">
        <v>2922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2929</v>
      </c>
      <c r="C210" s="3261">
        <v>0.121</v>
      </c>
      <c r="D210" s="3261">
        <v>0.121</v>
      </c>
      <c r="E210" s="3261">
        <v>0.125</v>
      </c>
      <c r="F210" s="3261">
        <v>0.13</v>
      </c>
      <c r="G210" s="3262">
        <v>0.123</v>
      </c>
    </row>
    <row r="211" spans="1:7">
      <c r="A211" s="3271" t="s">
        <v>304</v>
      </c>
      <c r="B211" s="3260" t="s">
        <v>2932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2944</v>
      </c>
      <c r="C214" s="3261">
        <v>0.128</v>
      </c>
      <c r="D214" s="3261">
        <v>0.128</v>
      </c>
      <c r="E214" s="3261">
        <v>0.13</v>
      </c>
      <c r="F214" s="3261">
        <v>0.13</v>
      </c>
      <c r="G214" s="3262">
        <v>0.13</v>
      </c>
    </row>
    <row r="215" spans="1:7">
      <c r="A215" s="3271" t="s">
        <v>304</v>
      </c>
      <c r="B215" s="3260" t="s">
        <v>2948</v>
      </c>
      <c r="C215" s="3261">
        <v>0.13</v>
      </c>
      <c r="D215" s="3261">
        <v>0.13</v>
      </c>
      <c r="E215" s="3261">
        <v>0.13</v>
      </c>
      <c r="F215" s="3261">
        <v>0.129</v>
      </c>
      <c r="G215" s="3262">
        <v>0.13</v>
      </c>
    </row>
    <row r="216" spans="1:7">
      <c r="A216" s="3271" t="s">
        <v>304</v>
      </c>
      <c r="B216" s="3260" t="s">
        <v>2955</v>
      </c>
      <c r="C216" s="3261">
        <v>0.13</v>
      </c>
      <c r="D216" s="3261">
        <v>0.13</v>
      </c>
      <c r="E216" s="3261">
        <v>0.13</v>
      </c>
      <c r="F216" s="3261">
        <v>0.13</v>
      </c>
      <c r="G216" s="3262">
        <v>0.13</v>
      </c>
    </row>
    <row r="217" spans="1:7">
      <c r="A217" s="3271" t="s">
        <v>304</v>
      </c>
      <c r="B217" s="3260" t="s">
        <v>2962</v>
      </c>
      <c r="C217" s="3261">
        <v>0.129</v>
      </c>
      <c r="D217" s="3261">
        <v>0.129</v>
      </c>
      <c r="E217" s="3261">
        <v>0.13</v>
      </c>
      <c r="F217" s="3261">
        <v>0.13</v>
      </c>
      <c r="G217" s="3262">
        <v>0.13</v>
      </c>
    </row>
    <row r="218" spans="1:7">
      <c r="A218" s="3271" t="s">
        <v>304</v>
      </c>
      <c r="B218" s="3260" t="s">
        <v>2968</v>
      </c>
      <c r="C218" s="3272"/>
      <c r="D218" s="3272"/>
      <c r="E218" s="3272"/>
      <c r="F218" s="3261">
        <v>0.05</v>
      </c>
      <c r="G218" s="3278"/>
    </row>
    <row r="219" spans="1:7">
      <c r="A219" s="3271" t="s">
        <v>304</v>
      </c>
      <c r="B219" s="3260" t="s">
        <v>2975</v>
      </c>
      <c r="C219" s="3272"/>
      <c r="D219" s="3272"/>
      <c r="E219" s="3272"/>
      <c r="F219" s="3261">
        <v>0.05</v>
      </c>
      <c r="G219" s="3278"/>
    </row>
    <row r="220" spans="1:7">
      <c r="A220" s="3271" t="s">
        <v>304</v>
      </c>
      <c r="B220" s="3260" t="s">
        <v>2981</v>
      </c>
      <c r="C220" s="3272"/>
      <c r="D220" s="3272"/>
      <c r="E220" s="3272"/>
      <c r="F220" s="3261">
        <v>0.05</v>
      </c>
      <c r="G220" s="3278"/>
    </row>
    <row r="221" spans="1:7">
      <c r="A221" s="3271" t="s">
        <v>304</v>
      </c>
      <c r="B221" s="3260" t="s">
        <v>2986</v>
      </c>
      <c r="C221" s="3272"/>
      <c r="D221" s="3272"/>
      <c r="E221" s="3272"/>
      <c r="F221" s="3261">
        <v>0.05</v>
      </c>
      <c r="G221" s="3278"/>
    </row>
    <row r="222" spans="1:7">
      <c r="A222" s="3271" t="s">
        <v>304</v>
      </c>
      <c r="B222" s="3260" t="s">
        <v>2990</v>
      </c>
      <c r="C222" s="3272"/>
      <c r="D222" s="3272"/>
      <c r="E222" s="3272"/>
      <c r="F222" s="3261">
        <v>0.05</v>
      </c>
      <c r="G222" s="3278"/>
    </row>
    <row r="223" spans="1:7">
      <c r="A223" s="3271" t="s">
        <v>304</v>
      </c>
      <c r="B223" s="3260" t="s">
        <v>2995</v>
      </c>
      <c r="C223" s="3272"/>
      <c r="D223" s="3272"/>
      <c r="E223" s="3272"/>
      <c r="F223" s="3261">
        <v>0.05</v>
      </c>
      <c r="G223" s="3278"/>
    </row>
    <row r="224" spans="1:7">
      <c r="A224" s="3271" t="s">
        <v>304</v>
      </c>
      <c r="B224" s="3260" t="s">
        <v>3000</v>
      </c>
      <c r="C224" s="3272"/>
      <c r="D224" s="3272"/>
      <c r="E224" s="3272"/>
      <c r="F224" s="3261">
        <v>0.05</v>
      </c>
      <c r="G224" s="3278"/>
    </row>
    <row r="225" spans="1:7">
      <c r="A225" s="3271" t="s">
        <v>304</v>
      </c>
      <c r="B225" s="3260" t="s">
        <v>3005</v>
      </c>
      <c r="C225" s="3272"/>
      <c r="D225" s="3272"/>
      <c r="E225" s="3272"/>
      <c r="F225" s="3261">
        <v>0.05</v>
      </c>
      <c r="G225" s="3278"/>
    </row>
    <row r="226" spans="1:7">
      <c r="A226" s="3271" t="s">
        <v>304</v>
      </c>
      <c r="B226" s="3260" t="s">
        <v>3207</v>
      </c>
      <c r="C226" s="3272"/>
      <c r="D226" s="3272"/>
      <c r="E226" s="3272"/>
      <c r="F226" s="3261">
        <v>0.05</v>
      </c>
      <c r="G226" s="3278"/>
    </row>
    <row r="227" spans="1:7">
      <c r="A227" s="3271" t="s">
        <v>304</v>
      </c>
      <c r="B227" s="3260" t="s">
        <v>3208</v>
      </c>
      <c r="C227" s="3272"/>
      <c r="D227" s="3272"/>
      <c r="E227" s="3272"/>
      <c r="F227" s="3261">
        <v>0.05</v>
      </c>
      <c r="G227" s="3278"/>
    </row>
    <row r="228" spans="1:7">
      <c r="A228" s="3271" t="s">
        <v>304</v>
      </c>
      <c r="B228" s="3260" t="s">
        <v>3209</v>
      </c>
      <c r="C228" s="3272"/>
      <c r="D228" s="3272"/>
      <c r="E228" s="3272"/>
      <c r="F228" s="3261">
        <v>0.05</v>
      </c>
      <c r="G228" s="3278"/>
    </row>
    <row r="229" spans="1:7">
      <c r="A229" s="3271" t="s">
        <v>304</v>
      </c>
      <c r="B229" s="3260" t="s">
        <v>3210</v>
      </c>
      <c r="C229" s="3272"/>
      <c r="D229" s="3272"/>
      <c r="E229" s="3272"/>
      <c r="F229" s="3261">
        <v>0.05</v>
      </c>
      <c r="G229" s="3278"/>
    </row>
    <row r="230" spans="1:7">
      <c r="A230" s="3271" t="s">
        <v>304</v>
      </c>
      <c r="B230" s="3260" t="s">
        <v>3211</v>
      </c>
      <c r="C230" s="3272"/>
      <c r="D230" s="3272"/>
      <c r="E230" s="3272"/>
      <c r="F230" s="3261">
        <v>0.05</v>
      </c>
      <c r="G230" s="3278"/>
    </row>
    <row r="231" spans="1:7">
      <c r="A231" s="3271" t="s">
        <v>304</v>
      </c>
      <c r="B231" s="3260" t="s">
        <v>3212</v>
      </c>
      <c r="C231" s="3272"/>
      <c r="D231" s="3272"/>
      <c r="E231" s="3272"/>
      <c r="F231" s="3261">
        <v>0.05</v>
      </c>
      <c r="G231" s="3278"/>
    </row>
    <row r="232" spans="1:7">
      <c r="A232" s="3271" t="s">
        <v>304</v>
      </c>
      <c r="B232" s="3260" t="s">
        <v>3213</v>
      </c>
      <c r="C232" s="3272"/>
      <c r="D232" s="3272"/>
      <c r="E232" s="3272"/>
      <c r="F232" s="3261">
        <v>0.05</v>
      </c>
      <c r="G232" s="3278"/>
    </row>
    <row r="233" spans="1:7" ht="15" thickBot="1">
      <c r="A233" s="3274" t="s">
        <v>304</v>
      </c>
      <c r="B233" s="3264" t="s">
        <v>3214</v>
      </c>
      <c r="C233" s="3266"/>
      <c r="D233" s="3266"/>
      <c r="E233" s="3266"/>
      <c r="F233" s="3265">
        <v>0.05</v>
      </c>
      <c r="G233" s="3279"/>
    </row>
    <row r="234" spans="1:7">
      <c r="A234" s="3270" t="s">
        <v>305</v>
      </c>
      <c r="B234" s="3256" t="s">
        <v>2863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2883</v>
      </c>
      <c r="C238" s="3261">
        <v>0.14899999999999999</v>
      </c>
      <c r="D238" s="3261">
        <v>0.14899999999999999</v>
      </c>
      <c r="E238" s="3261">
        <v>0.15</v>
      </c>
      <c r="F238" s="3261">
        <v>0.15</v>
      </c>
      <c r="G238" s="3262">
        <v>0.15</v>
      </c>
    </row>
    <row r="239" spans="1:7">
      <c r="A239" s="3271" t="s">
        <v>305</v>
      </c>
      <c r="B239" s="3260" t="s">
        <v>2887</v>
      </c>
      <c r="C239" s="3261">
        <v>0.15</v>
      </c>
      <c r="D239" s="3261">
        <v>0.15</v>
      </c>
      <c r="E239" s="3261">
        <v>0.15</v>
      </c>
      <c r="F239" s="3261">
        <v>0.15</v>
      </c>
      <c r="G239" s="3262">
        <v>0.15</v>
      </c>
    </row>
    <row r="240" spans="1:7">
      <c r="A240" s="3271" t="s">
        <v>305</v>
      </c>
      <c r="B240" s="3260" t="s">
        <v>2892</v>
      </c>
      <c r="C240" s="3261">
        <v>0.15</v>
      </c>
      <c r="D240" s="3261">
        <v>0.15</v>
      </c>
      <c r="E240" s="3261">
        <v>0.15</v>
      </c>
      <c r="F240" s="3261">
        <v>0.15</v>
      </c>
      <c r="G240" s="3262">
        <v>0.15</v>
      </c>
    </row>
    <row r="241" spans="1:7">
      <c r="A241" s="3271" t="s">
        <v>305</v>
      </c>
      <c r="B241" s="3260" t="s">
        <v>2896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2945</v>
      </c>
      <c r="C258" s="3261">
        <v>0.14299999999999999</v>
      </c>
      <c r="D258" s="3261">
        <v>0.14299999999999999</v>
      </c>
      <c r="E258" s="3261">
        <v>0.15</v>
      </c>
      <c r="F258" s="3261">
        <v>0.14799999999999999</v>
      </c>
      <c r="G258" s="3262">
        <v>0.14599999999999999</v>
      </c>
    </row>
    <row r="259" spans="1:7">
      <c r="A259" s="3271" t="s">
        <v>305</v>
      </c>
      <c r="B259" s="3260" t="s">
        <v>2949</v>
      </c>
      <c r="C259" s="3261">
        <v>0.14399999999999999</v>
      </c>
      <c r="D259" s="3261">
        <v>0.14399999999999999</v>
      </c>
      <c r="E259" s="3261">
        <v>0.14899999999999999</v>
      </c>
      <c r="F259" s="3261">
        <v>0.14699999999999999</v>
      </c>
      <c r="G259" s="3262">
        <v>0.14599999999999999</v>
      </c>
    </row>
    <row r="260" spans="1:7">
      <c r="A260" s="3271" t="s">
        <v>305</v>
      </c>
      <c r="B260" s="3260" t="s">
        <v>2956</v>
      </c>
      <c r="C260" s="3261">
        <v>0.109</v>
      </c>
      <c r="D260" s="3261">
        <v>0.111</v>
      </c>
      <c r="E260" s="3261">
        <v>0.13100000000000001</v>
      </c>
      <c r="F260" s="3261">
        <v>0.126</v>
      </c>
      <c r="G260" s="3262">
        <v>0.11899999999999999</v>
      </c>
    </row>
    <row r="261" spans="1:7">
      <c r="A261" s="3271" t="s">
        <v>305</v>
      </c>
      <c r="B261" s="3260" t="s">
        <v>2963</v>
      </c>
      <c r="C261" s="3261">
        <v>0.1</v>
      </c>
      <c r="D261" s="3261">
        <v>0.1</v>
      </c>
      <c r="E261" s="3261">
        <v>0.11799999999999999</v>
      </c>
      <c r="F261" s="3261">
        <v>0.108</v>
      </c>
      <c r="G261" s="3262">
        <v>0.107</v>
      </c>
    </row>
    <row r="262" spans="1:7">
      <c r="A262" s="3271" t="s">
        <v>305</v>
      </c>
      <c r="B262" s="3260" t="s">
        <v>2969</v>
      </c>
      <c r="C262" s="3261">
        <v>0.1</v>
      </c>
      <c r="D262" s="3261">
        <v>0.1</v>
      </c>
      <c r="E262" s="3261">
        <v>0.1</v>
      </c>
      <c r="F262" s="3261">
        <v>0.14099999999999999</v>
      </c>
      <c r="G262" s="3262">
        <v>0.1</v>
      </c>
    </row>
    <row r="263" spans="1:7">
      <c r="A263" s="3271" t="s">
        <v>305</v>
      </c>
      <c r="B263" s="3260" t="s">
        <v>2976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2987</v>
      </c>
      <c r="C265" s="3272"/>
      <c r="D265" s="3272"/>
      <c r="E265" s="3272"/>
      <c r="F265" s="3261">
        <v>0.05</v>
      </c>
      <c r="G265" s="3278"/>
    </row>
    <row r="266" spans="1:7">
      <c r="A266" s="3271" t="s">
        <v>305</v>
      </c>
      <c r="B266" s="3260" t="s">
        <v>2991</v>
      </c>
      <c r="C266" s="3272"/>
      <c r="D266" s="3272"/>
      <c r="E266" s="3272"/>
      <c r="F266" s="3261">
        <v>0.05</v>
      </c>
      <c r="G266" s="3278"/>
    </row>
    <row r="267" spans="1:7">
      <c r="A267" s="3271" t="s">
        <v>305</v>
      </c>
      <c r="B267" s="3260" t="s">
        <v>2996</v>
      </c>
      <c r="C267" s="3272"/>
      <c r="D267" s="3272"/>
      <c r="E267" s="3272"/>
      <c r="F267" s="3261">
        <v>0.05</v>
      </c>
      <c r="G267" s="3278"/>
    </row>
    <row r="268" spans="1:7">
      <c r="A268" s="3271" t="s">
        <v>305</v>
      </c>
      <c r="B268" s="3260" t="s">
        <v>3001</v>
      </c>
      <c r="C268" s="3272"/>
      <c r="D268" s="3272"/>
      <c r="E268" s="3272"/>
      <c r="F268" s="3261">
        <v>0.05</v>
      </c>
      <c r="G268" s="3278"/>
    </row>
    <row r="269" spans="1:7">
      <c r="A269" s="3271" t="s">
        <v>305</v>
      </c>
      <c r="B269" s="3260" t="s">
        <v>3006</v>
      </c>
      <c r="C269" s="3272"/>
      <c r="D269" s="3272"/>
      <c r="E269" s="3272"/>
      <c r="F269" s="3261">
        <v>0.05</v>
      </c>
      <c r="G269" s="3278"/>
    </row>
    <row r="270" spans="1:7">
      <c r="A270" s="3271" t="s">
        <v>305</v>
      </c>
      <c r="B270" s="3260" t="s">
        <v>3011</v>
      </c>
      <c r="C270" s="3272"/>
      <c r="D270" s="3272"/>
      <c r="E270" s="3272"/>
      <c r="F270" s="3261">
        <v>0.05</v>
      </c>
      <c r="G270" s="3278"/>
    </row>
    <row r="271" spans="1:7">
      <c r="A271" s="3271" t="s">
        <v>305</v>
      </c>
      <c r="B271" s="3260" t="s">
        <v>3215</v>
      </c>
      <c r="C271" s="3272"/>
      <c r="D271" s="3272"/>
      <c r="E271" s="3272"/>
      <c r="F271" s="3261">
        <v>0.05</v>
      </c>
      <c r="G271" s="3278"/>
    </row>
    <row r="272" spans="1:7">
      <c r="A272" s="3271" t="s">
        <v>305</v>
      </c>
      <c r="B272" s="3260" t="s">
        <v>3216</v>
      </c>
      <c r="C272" s="3272"/>
      <c r="D272" s="3272"/>
      <c r="E272" s="3272"/>
      <c r="F272" s="3261">
        <v>0.05</v>
      </c>
      <c r="G272" s="3278"/>
    </row>
    <row r="273" spans="1:7">
      <c r="A273" s="3271" t="s">
        <v>305</v>
      </c>
      <c r="B273" s="3260" t="s">
        <v>3217</v>
      </c>
      <c r="C273" s="3272"/>
      <c r="D273" s="3272"/>
      <c r="E273" s="3272"/>
      <c r="F273" s="3261">
        <v>0.05</v>
      </c>
      <c r="G273" s="3278"/>
    </row>
    <row r="274" spans="1:7">
      <c r="A274" s="3271" t="s">
        <v>305</v>
      </c>
      <c r="B274" s="3260" t="s">
        <v>3218</v>
      </c>
      <c r="C274" s="3272"/>
      <c r="D274" s="3272"/>
      <c r="E274" s="3272"/>
      <c r="F274" s="3261">
        <v>0.05</v>
      </c>
      <c r="G274" s="3278"/>
    </row>
    <row r="275" spans="1:7">
      <c r="A275" s="3271" t="s">
        <v>305</v>
      </c>
      <c r="B275" s="3260" t="s">
        <v>3219</v>
      </c>
      <c r="C275" s="3272"/>
      <c r="D275" s="3272"/>
      <c r="E275" s="3272"/>
      <c r="F275" s="3261">
        <v>0.05</v>
      </c>
      <c r="G275" s="3278"/>
    </row>
    <row r="276" spans="1:7" ht="15" thickBot="1">
      <c r="A276" s="3274" t="s">
        <v>305</v>
      </c>
      <c r="B276" s="3264" t="s">
        <v>3220</v>
      </c>
      <c r="C276" s="3266"/>
      <c r="D276" s="3266"/>
      <c r="E276" s="3266"/>
      <c r="F276" s="3265">
        <v>0.05</v>
      </c>
      <c r="G276" s="3279"/>
    </row>
    <row r="277" spans="1:7">
      <c r="A277" s="3270" t="s">
        <v>306</v>
      </c>
      <c r="B277" s="3256" t="s">
        <v>2864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2876</v>
      </c>
      <c r="C279" s="3261">
        <v>0.15</v>
      </c>
      <c r="D279" s="3261">
        <v>0.15</v>
      </c>
      <c r="E279" s="3261">
        <v>0.15</v>
      </c>
      <c r="F279" s="3261">
        <v>0.15</v>
      </c>
      <c r="G279" s="3262">
        <v>0.15</v>
      </c>
    </row>
    <row r="280" spans="1:7">
      <c r="A280" s="3271" t="s">
        <v>306</v>
      </c>
      <c r="B280" s="3260" t="s">
        <v>2880</v>
      </c>
      <c r="C280" s="3261">
        <v>0.15</v>
      </c>
      <c r="D280" s="3261">
        <v>0.15</v>
      </c>
      <c r="E280" s="3261">
        <v>0.15</v>
      </c>
      <c r="F280" s="3261">
        <v>0.15</v>
      </c>
      <c r="G280" s="3262">
        <v>0.15</v>
      </c>
    </row>
    <row r="281" spans="1:7">
      <c r="A281" s="3271" t="s">
        <v>306</v>
      </c>
      <c r="B281" s="3260" t="s">
        <v>2884</v>
      </c>
      <c r="C281" s="3261">
        <v>0.15</v>
      </c>
      <c r="D281" s="3261">
        <v>0.15</v>
      </c>
      <c r="E281" s="3261">
        <v>0.15</v>
      </c>
      <c r="F281" s="3261">
        <v>0.15</v>
      </c>
      <c r="G281" s="3262">
        <v>0.15</v>
      </c>
    </row>
    <row r="282" spans="1:7">
      <c r="A282" s="3271" t="s">
        <v>306</v>
      </c>
      <c r="B282" s="3260" t="s">
        <v>2888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2918</v>
      </c>
      <c r="C293" s="3261">
        <v>0.15</v>
      </c>
      <c r="D293" s="3261">
        <v>0.15</v>
      </c>
      <c r="E293" s="3261">
        <v>0.15</v>
      </c>
      <c r="F293" s="3261">
        <v>0.14499999999999999</v>
      </c>
      <c r="G293" s="3262">
        <v>0.15</v>
      </c>
    </row>
    <row r="294" spans="1:7">
      <c r="A294" s="3271" t="s">
        <v>306</v>
      </c>
      <c r="B294" s="3260" t="s">
        <v>2920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2950</v>
      </c>
      <c r="C302" s="3261">
        <v>0.15</v>
      </c>
      <c r="D302" s="3261">
        <v>0.15</v>
      </c>
      <c r="E302" s="3261">
        <v>0.15</v>
      </c>
      <c r="F302" s="3261">
        <v>0.14699999999999999</v>
      </c>
      <c r="G302" s="3262">
        <v>0.15</v>
      </c>
    </row>
    <row r="303" spans="1:7">
      <c r="A303" s="3271" t="s">
        <v>306</v>
      </c>
      <c r="B303" s="3260" t="s">
        <v>2957</v>
      </c>
      <c r="C303" s="3261">
        <v>0.15</v>
      </c>
      <c r="D303" s="3261">
        <v>0.15</v>
      </c>
      <c r="E303" s="3261">
        <v>0.15</v>
      </c>
      <c r="F303" s="3261">
        <v>0.14199999999999999</v>
      </c>
      <c r="G303" s="3262">
        <v>0.15</v>
      </c>
    </row>
    <row r="304" spans="1:7">
      <c r="A304" s="3271" t="s">
        <v>306</v>
      </c>
      <c r="B304" s="3260" t="s">
        <v>2964</v>
      </c>
      <c r="C304" s="3261">
        <v>0.15</v>
      </c>
      <c r="D304" s="3261">
        <v>0.15</v>
      </c>
      <c r="E304" s="3261">
        <v>0.15</v>
      </c>
      <c r="F304" s="3261">
        <v>0.14499999999999999</v>
      </c>
      <c r="G304" s="3262">
        <v>0.15</v>
      </c>
    </row>
    <row r="305" spans="1:7">
      <c r="A305" s="3271" t="s">
        <v>306</v>
      </c>
      <c r="B305" s="3260" t="s">
        <v>2970</v>
      </c>
      <c r="C305" s="3261">
        <v>0.15</v>
      </c>
      <c r="D305" s="3261">
        <v>0.15</v>
      </c>
      <c r="E305" s="3261">
        <v>0.15</v>
      </c>
      <c r="F305" s="3261">
        <v>0.111</v>
      </c>
      <c r="G305" s="3262">
        <v>0.15</v>
      </c>
    </row>
    <row r="306" spans="1:7">
      <c r="A306" s="3271" t="s">
        <v>306</v>
      </c>
      <c r="B306" s="3260" t="s">
        <v>2977</v>
      </c>
      <c r="C306" s="3261">
        <v>0.15</v>
      </c>
      <c r="D306" s="3261">
        <v>0.15</v>
      </c>
      <c r="E306" s="3261">
        <v>0.15</v>
      </c>
      <c r="F306" s="3261">
        <v>0.126</v>
      </c>
      <c r="G306" s="3262">
        <v>0.15</v>
      </c>
    </row>
    <row r="307" spans="1:7">
      <c r="A307" s="3271" t="s">
        <v>306</v>
      </c>
      <c r="B307" s="3260" t="s">
        <v>2982</v>
      </c>
      <c r="C307" s="3261">
        <v>0.15</v>
      </c>
      <c r="D307" s="3261">
        <v>0.15</v>
      </c>
      <c r="E307" s="3261">
        <v>0.15</v>
      </c>
      <c r="F307" s="3261">
        <v>0.12</v>
      </c>
      <c r="G307" s="3262">
        <v>0.15</v>
      </c>
    </row>
    <row r="308" spans="1:7">
      <c r="A308" s="3271" t="s">
        <v>306</v>
      </c>
      <c r="B308" s="3260" t="s">
        <v>2988</v>
      </c>
      <c r="C308" s="3261">
        <v>0.15</v>
      </c>
      <c r="D308" s="3261">
        <v>0.15</v>
      </c>
      <c r="E308" s="3261">
        <v>0.15</v>
      </c>
      <c r="F308" s="3261">
        <v>0.13</v>
      </c>
      <c r="G308" s="3262">
        <v>0.15</v>
      </c>
    </row>
    <row r="309" spans="1:7">
      <c r="A309" s="3271" t="s">
        <v>306</v>
      </c>
      <c r="B309" s="3260" t="s">
        <v>2992</v>
      </c>
      <c r="C309" s="3261">
        <v>0.15</v>
      </c>
      <c r="D309" s="3261">
        <v>0.15</v>
      </c>
      <c r="E309" s="3261">
        <v>0.15</v>
      </c>
      <c r="F309" s="3261">
        <v>0.14099999999999999</v>
      </c>
      <c r="G309" s="3262">
        <v>0.15</v>
      </c>
    </row>
    <row r="310" spans="1:7">
      <c r="A310" s="3271" t="s">
        <v>306</v>
      </c>
      <c r="B310" s="3260" t="s">
        <v>2997</v>
      </c>
      <c r="C310" s="3261">
        <v>0.15</v>
      </c>
      <c r="D310" s="3261">
        <v>0.15</v>
      </c>
      <c r="E310" s="3261">
        <v>0.15</v>
      </c>
      <c r="F310" s="3261">
        <v>0.15</v>
      </c>
      <c r="G310" s="3262">
        <v>0.15</v>
      </c>
    </row>
    <row r="311" spans="1:7">
      <c r="A311" s="3271" t="s">
        <v>306</v>
      </c>
      <c r="B311" s="3260" t="s">
        <v>3002</v>
      </c>
      <c r="C311" s="3261">
        <v>0.13200000000000001</v>
      </c>
      <c r="D311" s="3261">
        <v>0.13300000000000001</v>
      </c>
      <c r="E311" s="3261">
        <v>0.14499999999999999</v>
      </c>
      <c r="F311" s="3261">
        <v>0.14199999999999999</v>
      </c>
      <c r="G311" s="3262">
        <v>0.14000000000000001</v>
      </c>
    </row>
    <row r="312" spans="1:7">
      <c r="A312" s="3271" t="s">
        <v>306</v>
      </c>
      <c r="B312" s="3260" t="s">
        <v>3007</v>
      </c>
      <c r="C312" s="3261">
        <v>0.13800000000000001</v>
      </c>
      <c r="D312" s="3261">
        <v>0.14000000000000001</v>
      </c>
      <c r="E312" s="3261">
        <v>0.14599999999999999</v>
      </c>
      <c r="F312" s="3261">
        <v>0.14899999999999999</v>
      </c>
      <c r="G312" s="3262">
        <v>0.14199999999999999</v>
      </c>
    </row>
    <row r="313" spans="1:7">
      <c r="A313" s="3271" t="s">
        <v>306</v>
      </c>
      <c r="B313" s="3260" t="s">
        <v>3012</v>
      </c>
      <c r="C313" s="3261">
        <v>0.125</v>
      </c>
      <c r="D313" s="3261">
        <v>0.127</v>
      </c>
      <c r="E313" s="3261">
        <v>0.14399999999999999</v>
      </c>
      <c r="F313" s="3261">
        <v>0.115</v>
      </c>
      <c r="G313" s="3262">
        <v>0.13600000000000001</v>
      </c>
    </row>
    <row r="314" spans="1:7">
      <c r="A314" s="3271" t="s">
        <v>306</v>
      </c>
      <c r="B314" s="3260" t="s">
        <v>3221</v>
      </c>
      <c r="C314" s="3277"/>
      <c r="D314" s="3277"/>
      <c r="E314" s="3277"/>
      <c r="F314" s="3261">
        <v>0.05</v>
      </c>
      <c r="G314" s="3278"/>
    </row>
    <row r="315" spans="1:7">
      <c r="A315" s="3271" t="s">
        <v>306</v>
      </c>
      <c r="B315" s="3260" t="s">
        <v>3222</v>
      </c>
      <c r="C315" s="3277"/>
      <c r="D315" s="3277"/>
      <c r="E315" s="3277"/>
      <c r="F315" s="3261">
        <v>0.05</v>
      </c>
      <c r="G315" s="3278"/>
    </row>
    <row r="316" spans="1:7">
      <c r="A316" s="3271" t="s">
        <v>306</v>
      </c>
      <c r="B316" s="3260" t="s">
        <v>3223</v>
      </c>
      <c r="C316" s="3272"/>
      <c r="D316" s="3272"/>
      <c r="E316" s="3272"/>
      <c r="F316" s="3261">
        <v>0.05</v>
      </c>
      <c r="G316" s="3278"/>
    </row>
    <row r="317" spans="1:7">
      <c r="A317" s="3271" t="s">
        <v>306</v>
      </c>
      <c r="B317" s="3260" t="s">
        <v>3224</v>
      </c>
      <c r="C317" s="3272"/>
      <c r="D317" s="3272"/>
      <c r="E317" s="3272"/>
      <c r="F317" s="3261">
        <v>0.05</v>
      </c>
      <c r="G317" s="3278"/>
    </row>
    <row r="318" spans="1:7">
      <c r="A318" s="3271" t="s">
        <v>306</v>
      </c>
      <c r="B318" s="3260" t="s">
        <v>3225</v>
      </c>
      <c r="C318" s="3272"/>
      <c r="D318" s="3272"/>
      <c r="E318" s="3272"/>
      <c r="F318" s="3261">
        <v>0.05</v>
      </c>
      <c r="G318" s="3278"/>
    </row>
    <row r="319" spans="1:7">
      <c r="A319" s="3271" t="s">
        <v>306</v>
      </c>
      <c r="B319" s="3260" t="s">
        <v>3226</v>
      </c>
      <c r="C319" s="3272"/>
      <c r="D319" s="3272"/>
      <c r="E319" s="3272"/>
      <c r="F319" s="3261">
        <v>0.05</v>
      </c>
      <c r="G319" s="3278"/>
    </row>
    <row r="320" spans="1:7">
      <c r="A320" s="3271" t="s">
        <v>306</v>
      </c>
      <c r="B320" s="3260" t="s">
        <v>3227</v>
      </c>
      <c r="C320" s="3272"/>
      <c r="D320" s="3272"/>
      <c r="E320" s="3272"/>
      <c r="F320" s="3261">
        <v>0.05</v>
      </c>
      <c r="G320" s="3278"/>
    </row>
    <row r="321" spans="1:7">
      <c r="A321" s="3271" t="s">
        <v>306</v>
      </c>
      <c r="B321" s="3260" t="s">
        <v>3228</v>
      </c>
      <c r="C321" s="3272"/>
      <c r="D321" s="3272"/>
      <c r="E321" s="3272"/>
      <c r="F321" s="3261">
        <v>0.05</v>
      </c>
      <c r="G321" s="3278"/>
    </row>
    <row r="322" spans="1:7">
      <c r="A322" s="3271" t="s">
        <v>306</v>
      </c>
      <c r="B322" s="3260" t="s">
        <v>3229</v>
      </c>
      <c r="C322" s="3272"/>
      <c r="D322" s="3272"/>
      <c r="E322" s="3272"/>
      <c r="F322" s="3261">
        <v>0.05</v>
      </c>
      <c r="G322" s="3278"/>
    </row>
    <row r="323" spans="1:7">
      <c r="A323" s="3271" t="s">
        <v>306</v>
      </c>
      <c r="B323" s="3260" t="s">
        <v>3230</v>
      </c>
      <c r="C323" s="3272"/>
      <c r="D323" s="3272"/>
      <c r="E323" s="3272"/>
      <c r="F323" s="3261">
        <v>0.05</v>
      </c>
      <c r="G323" s="3278"/>
    </row>
    <row r="324" spans="1:7">
      <c r="A324" s="3271" t="s">
        <v>306</v>
      </c>
      <c r="B324" s="3260" t="s">
        <v>3231</v>
      </c>
      <c r="C324" s="3272"/>
      <c r="D324" s="3272"/>
      <c r="E324" s="3272"/>
      <c r="F324" s="3261">
        <v>0.05</v>
      </c>
      <c r="G324" s="3278"/>
    </row>
    <row r="325" spans="1:7">
      <c r="A325" s="3271" t="s">
        <v>306</v>
      </c>
      <c r="B325" s="3260" t="s">
        <v>3232</v>
      </c>
      <c r="C325" s="3272"/>
      <c r="D325" s="3272"/>
      <c r="E325" s="3272"/>
      <c r="F325" s="3261">
        <v>0.05</v>
      </c>
      <c r="G325" s="3278"/>
    </row>
    <row r="326" spans="1:7" ht="15" thickBot="1">
      <c r="A326" s="3274" t="s">
        <v>306</v>
      </c>
      <c r="B326" s="3264" t="s">
        <v>3233</v>
      </c>
      <c r="C326" s="3266"/>
      <c r="D326" s="3266"/>
      <c r="E326" s="3266"/>
      <c r="F326" s="3265">
        <v>0.05</v>
      </c>
      <c r="G326" s="3279"/>
    </row>
    <row r="327" spans="1:7">
      <c r="A327" s="3270" t="s">
        <v>307</v>
      </c>
      <c r="B327" s="3256" t="s">
        <v>2865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2877</v>
      </c>
      <c r="C329" s="3261">
        <v>0.15</v>
      </c>
      <c r="D329" s="3261">
        <v>0.15</v>
      </c>
      <c r="E329" s="3261">
        <v>0.15</v>
      </c>
      <c r="F329" s="3261">
        <v>0.15</v>
      </c>
      <c r="G329" s="3262">
        <v>0.15</v>
      </c>
    </row>
    <row r="330" spans="1:7">
      <c r="A330" s="3271" t="s">
        <v>307</v>
      </c>
      <c r="B330" s="3260" t="s">
        <v>2881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2889</v>
      </c>
      <c r="C332" s="3261">
        <v>0.15</v>
      </c>
      <c r="D332" s="3261">
        <v>0.15</v>
      </c>
      <c r="E332" s="3261">
        <v>0.15</v>
      </c>
      <c r="F332" s="3261">
        <v>0.15</v>
      </c>
      <c r="G332" s="3262">
        <v>0.15</v>
      </c>
    </row>
    <row r="333" spans="1:7">
      <c r="A333" s="3271" t="s">
        <v>307</v>
      </c>
      <c r="B333" s="3260" t="s">
        <v>2893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2899</v>
      </c>
      <c r="C336" s="3261">
        <v>0.15</v>
      </c>
      <c r="D336" s="3261">
        <v>0.15</v>
      </c>
      <c r="E336" s="3261">
        <v>0.15</v>
      </c>
      <c r="F336" s="3261">
        <v>0.14199999999999999</v>
      </c>
      <c r="G336" s="3262">
        <v>0.15</v>
      </c>
    </row>
    <row r="337" spans="1:7">
      <c r="A337" s="3271" t="s">
        <v>307</v>
      </c>
      <c r="B337" s="3260" t="s">
        <v>2904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2924</v>
      </c>
      <c r="C345" s="3261">
        <v>0.15</v>
      </c>
      <c r="D345" s="3261">
        <v>0.15</v>
      </c>
      <c r="E345" s="3261">
        <v>0.15</v>
      </c>
      <c r="F345" s="3261">
        <v>0.13800000000000001</v>
      </c>
      <c r="G345" s="3262">
        <v>0.15</v>
      </c>
    </row>
    <row r="346" spans="1:7">
      <c r="A346" s="3271" t="s">
        <v>307</v>
      </c>
      <c r="B346" s="3260" t="s">
        <v>2926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2933</v>
      </c>
      <c r="C348" s="3261">
        <v>0.15</v>
      </c>
      <c r="D348" s="3261">
        <v>0.15</v>
      </c>
      <c r="E348" s="3261">
        <v>0.15</v>
      </c>
      <c r="F348" s="3261">
        <v>0.14399999999999999</v>
      </c>
      <c r="G348" s="3262">
        <v>0.15</v>
      </c>
    </row>
    <row r="349" spans="1:7">
      <c r="A349" s="3271" t="s">
        <v>307</v>
      </c>
      <c r="B349" s="3260" t="s">
        <v>2938</v>
      </c>
      <c r="C349" s="3261">
        <v>0.15</v>
      </c>
      <c r="D349" s="3261">
        <v>0.15</v>
      </c>
      <c r="E349" s="3261">
        <v>0.15</v>
      </c>
      <c r="F349" s="3261">
        <v>0.15</v>
      </c>
      <c r="G349" s="3262">
        <v>0.15</v>
      </c>
    </row>
    <row r="350" spans="1:7">
      <c r="A350" s="3271" t="s">
        <v>307</v>
      </c>
      <c r="B350" s="3260" t="s">
        <v>2941</v>
      </c>
      <c r="C350" s="3261">
        <v>0.15</v>
      </c>
      <c r="D350" s="3261">
        <v>0.15</v>
      </c>
      <c r="E350" s="3261">
        <v>0.15</v>
      </c>
      <c r="F350" s="3261">
        <v>0.14699999999999999</v>
      </c>
      <c r="G350" s="3262">
        <v>0.15</v>
      </c>
    </row>
    <row r="351" spans="1:7">
      <c r="A351" s="3271" t="s">
        <v>307</v>
      </c>
      <c r="B351" s="3260" t="s">
        <v>2946</v>
      </c>
      <c r="C351" s="3261">
        <v>0.15</v>
      </c>
      <c r="D351" s="3261">
        <v>0.15</v>
      </c>
      <c r="E351" s="3261">
        <v>0.15</v>
      </c>
      <c r="F351" s="3261">
        <v>0.13</v>
      </c>
      <c r="G351" s="3262">
        <v>0.15</v>
      </c>
    </row>
    <row r="352" spans="1:7">
      <c r="A352" s="3271" t="s">
        <v>307</v>
      </c>
      <c r="B352" s="3260" t="s">
        <v>2951</v>
      </c>
      <c r="C352" s="3261">
        <v>0.15</v>
      </c>
      <c r="D352" s="3261">
        <v>0.15</v>
      </c>
      <c r="E352" s="3261">
        <v>0.15</v>
      </c>
      <c r="F352" s="3261">
        <v>0.14599999999999999</v>
      </c>
      <c r="G352" s="3262">
        <v>0.15</v>
      </c>
    </row>
    <row r="353" spans="1:7">
      <c r="A353" s="3271" t="s">
        <v>307</v>
      </c>
      <c r="B353" s="3260" t="s">
        <v>2958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2971</v>
      </c>
      <c r="C355" s="3261">
        <v>0.15</v>
      </c>
      <c r="D355" s="3261">
        <v>0.15</v>
      </c>
      <c r="E355" s="3261">
        <v>0.15</v>
      </c>
      <c r="F355" s="3261">
        <v>0.15</v>
      </c>
      <c r="G355" s="3262">
        <v>0.15</v>
      </c>
    </row>
    <row r="356" spans="1:7">
      <c r="A356" s="3271" t="s">
        <v>307</v>
      </c>
      <c r="B356" s="3260" t="s">
        <v>2978</v>
      </c>
      <c r="C356" s="3261">
        <v>0.15</v>
      </c>
      <c r="D356" s="3261">
        <v>0.15</v>
      </c>
      <c r="E356" s="3261">
        <v>0.15</v>
      </c>
      <c r="F356" s="3261">
        <v>0.15</v>
      </c>
      <c r="G356" s="3262">
        <v>0.15</v>
      </c>
    </row>
    <row r="357" spans="1:7" ht="15" thickBot="1">
      <c r="A357" s="3274" t="s">
        <v>307</v>
      </c>
      <c r="B357" s="3264" t="s">
        <v>2983</v>
      </c>
      <c r="C357" s="3265">
        <v>0.126</v>
      </c>
      <c r="D357" s="3265">
        <v>0.127</v>
      </c>
      <c r="E357" s="3265">
        <v>0.14299999999999999</v>
      </c>
      <c r="F357" s="3265">
        <v>0.125</v>
      </c>
      <c r="G357" s="3267">
        <v>0.129</v>
      </c>
    </row>
    <row r="358" spans="1:7">
      <c r="A358" s="3270" t="s">
        <v>2852</v>
      </c>
      <c r="B358" s="3256" t="s">
        <v>2866</v>
      </c>
      <c r="C358" s="3257">
        <v>0.15</v>
      </c>
      <c r="D358" s="3257">
        <v>0.15</v>
      </c>
      <c r="E358" s="3257">
        <v>0.15</v>
      </c>
      <c r="F358" s="3257">
        <v>0.15</v>
      </c>
      <c r="G358" s="3258">
        <v>0.15</v>
      </c>
    </row>
    <row r="359" spans="1:7">
      <c r="A359" s="3271" t="s">
        <v>2852</v>
      </c>
      <c r="B359" s="3260" t="s">
        <v>2872</v>
      </c>
      <c r="C359" s="3261">
        <v>0.1</v>
      </c>
      <c r="D359" s="3261">
        <v>0.1</v>
      </c>
      <c r="E359" s="3261">
        <v>0.1</v>
      </c>
      <c r="F359" s="3261">
        <v>0.1</v>
      </c>
      <c r="G359" s="3262">
        <v>0.1</v>
      </c>
    </row>
    <row r="360" spans="1:7">
      <c r="A360" s="3271" t="s">
        <v>2852</v>
      </c>
      <c r="B360" s="3260" t="s">
        <v>2878</v>
      </c>
      <c r="C360" s="3261">
        <v>0.15</v>
      </c>
      <c r="D360" s="3261">
        <v>0.15</v>
      </c>
      <c r="E360" s="3261">
        <v>0.15</v>
      </c>
      <c r="F360" s="3261">
        <v>0.14899999999999999</v>
      </c>
      <c r="G360" s="3262">
        <v>0.15</v>
      </c>
    </row>
    <row r="361" spans="1:7">
      <c r="A361" s="3271" t="s">
        <v>2852</v>
      </c>
      <c r="B361" s="3260" t="s">
        <v>153</v>
      </c>
      <c r="C361" s="3261">
        <v>0.15</v>
      </c>
      <c r="D361" s="3261">
        <v>0.15</v>
      </c>
      <c r="E361" s="3261">
        <v>0.15</v>
      </c>
      <c r="F361" s="3261">
        <v>0.115</v>
      </c>
      <c r="G361" s="3262">
        <v>0.15</v>
      </c>
    </row>
    <row r="362" spans="1:7">
      <c r="A362" s="3271" t="s">
        <v>2852</v>
      </c>
      <c r="B362" s="3260" t="s">
        <v>2885</v>
      </c>
      <c r="C362" s="3261">
        <v>0.15</v>
      </c>
      <c r="D362" s="3261">
        <v>0.15</v>
      </c>
      <c r="E362" s="3261">
        <v>0.15</v>
      </c>
      <c r="F362" s="3261">
        <v>0.106</v>
      </c>
      <c r="G362" s="3262">
        <v>0.15</v>
      </c>
    </row>
    <row r="363" spans="1:7">
      <c r="A363" s="3271" t="s">
        <v>2852</v>
      </c>
      <c r="B363" s="3260" t="s">
        <v>2890</v>
      </c>
      <c r="C363" s="3261">
        <v>0.15</v>
      </c>
      <c r="D363" s="3261">
        <v>0.15</v>
      </c>
      <c r="E363" s="3261">
        <v>0.15</v>
      </c>
      <c r="F363" s="3261">
        <v>0.14699999999999999</v>
      </c>
      <c r="G363" s="3262">
        <v>0.15</v>
      </c>
    </row>
    <row r="364" spans="1:7">
      <c r="A364" s="3271" t="s">
        <v>2852</v>
      </c>
      <c r="B364" s="3260" t="s">
        <v>2894</v>
      </c>
      <c r="C364" s="3261">
        <v>0.15</v>
      </c>
      <c r="D364" s="3261">
        <v>0.15</v>
      </c>
      <c r="E364" s="3261">
        <v>0.15</v>
      </c>
      <c r="F364" s="3261">
        <v>0.14799999999999999</v>
      </c>
      <c r="G364" s="3262">
        <v>0.15</v>
      </c>
    </row>
    <row r="365" spans="1:7">
      <c r="A365" s="3271" t="s">
        <v>2852</v>
      </c>
      <c r="B365" s="3260" t="s">
        <v>200</v>
      </c>
      <c r="C365" s="3261">
        <v>0.15</v>
      </c>
      <c r="D365" s="3261">
        <v>0.15</v>
      </c>
      <c r="E365" s="3261">
        <v>0.15</v>
      </c>
      <c r="F365" s="3261">
        <v>0.15</v>
      </c>
      <c r="G365" s="3262">
        <v>0.15</v>
      </c>
    </row>
    <row r="366" spans="1:7">
      <c r="A366" s="3271" t="s">
        <v>2852</v>
      </c>
      <c r="B366" s="3260" t="s">
        <v>2897</v>
      </c>
      <c r="C366" s="3261">
        <v>0.15</v>
      </c>
      <c r="D366" s="3261">
        <v>0.15</v>
      </c>
      <c r="E366" s="3261">
        <v>0.15</v>
      </c>
      <c r="F366" s="3261">
        <v>0.15</v>
      </c>
      <c r="G366" s="3262">
        <v>0.15</v>
      </c>
    </row>
    <row r="367" spans="1:7">
      <c r="A367" s="3271" t="s">
        <v>2852</v>
      </c>
      <c r="B367" s="3260" t="s">
        <v>2900</v>
      </c>
      <c r="C367" s="3261">
        <v>0.15</v>
      </c>
      <c r="D367" s="3261">
        <v>0.15</v>
      </c>
      <c r="E367" s="3261">
        <v>0.15</v>
      </c>
      <c r="F367" s="3261">
        <v>0.14699999999999999</v>
      </c>
      <c r="G367" s="3262">
        <v>0.15</v>
      </c>
    </row>
    <row r="368" spans="1:7">
      <c r="A368" s="3271" t="s">
        <v>2852</v>
      </c>
      <c r="B368" s="3260" t="s">
        <v>2905</v>
      </c>
      <c r="C368" s="3261">
        <v>0.15</v>
      </c>
      <c r="D368" s="3261">
        <v>0.15</v>
      </c>
      <c r="E368" s="3261">
        <v>0.15</v>
      </c>
      <c r="F368" s="3261">
        <v>0.13600000000000001</v>
      </c>
      <c r="G368" s="3262">
        <v>0.15</v>
      </c>
    </row>
    <row r="369" spans="1:7">
      <c r="A369" s="3271" t="s">
        <v>2852</v>
      </c>
      <c r="B369" s="3260" t="s">
        <v>214</v>
      </c>
      <c r="C369" s="3261">
        <v>0.15</v>
      </c>
      <c r="D369" s="3261">
        <v>0.15</v>
      </c>
      <c r="E369" s="3261">
        <v>0.15</v>
      </c>
      <c r="F369" s="3261">
        <v>0.14399999999999999</v>
      </c>
      <c r="G369" s="3262">
        <v>0.15</v>
      </c>
    </row>
    <row r="370" spans="1:7">
      <c r="A370" s="3271" t="s">
        <v>2852</v>
      </c>
      <c r="B370" s="3260" t="s">
        <v>221</v>
      </c>
      <c r="C370" s="3261">
        <v>0.15</v>
      </c>
      <c r="D370" s="3261">
        <v>0.15</v>
      </c>
      <c r="E370" s="3261">
        <v>0.15</v>
      </c>
      <c r="F370" s="3261">
        <v>0.14599999999999999</v>
      </c>
      <c r="G370" s="3262">
        <v>0.15</v>
      </c>
    </row>
    <row r="371" spans="1:7">
      <c r="A371" s="3271" t="s">
        <v>2852</v>
      </c>
      <c r="B371" s="3260" t="s">
        <v>229</v>
      </c>
      <c r="C371" s="3261">
        <v>0.15</v>
      </c>
      <c r="D371" s="3261">
        <v>0.15</v>
      </c>
      <c r="E371" s="3261">
        <v>0.15</v>
      </c>
      <c r="F371" s="3261">
        <v>0.12</v>
      </c>
      <c r="G371" s="3262">
        <v>0.15</v>
      </c>
    </row>
    <row r="372" spans="1:7">
      <c r="A372" s="3271" t="s">
        <v>2852</v>
      </c>
      <c r="B372" s="3260" t="s">
        <v>2913</v>
      </c>
      <c r="C372" s="3261">
        <v>0.15</v>
      </c>
      <c r="D372" s="3261">
        <v>0.15</v>
      </c>
      <c r="E372" s="3261">
        <v>0.15</v>
      </c>
      <c r="F372" s="3261">
        <v>0.14299999999999999</v>
      </c>
      <c r="G372" s="3262">
        <v>0.15</v>
      </c>
    </row>
    <row r="373" spans="1:7">
      <c r="A373" s="3271" t="s">
        <v>2852</v>
      </c>
      <c r="B373" s="3260" t="s">
        <v>258</v>
      </c>
      <c r="C373" s="3261">
        <v>0.15</v>
      </c>
      <c r="D373" s="3261">
        <v>0.15</v>
      </c>
      <c r="E373" s="3261">
        <v>0.15</v>
      </c>
      <c r="F373" s="3261">
        <v>0.14599999999999999</v>
      </c>
      <c r="G373" s="3262">
        <v>0.15</v>
      </c>
    </row>
    <row r="374" spans="1:7">
      <c r="A374" s="3271" t="s">
        <v>2852</v>
      </c>
      <c r="B374" s="3260" t="s">
        <v>266</v>
      </c>
      <c r="C374" s="3261">
        <v>0.15</v>
      </c>
      <c r="D374" s="3261">
        <v>0.15</v>
      </c>
      <c r="E374" s="3261">
        <v>0.15</v>
      </c>
      <c r="F374" s="3261">
        <v>0.14399999999999999</v>
      </c>
      <c r="G374" s="3262">
        <v>0.15</v>
      </c>
    </row>
    <row r="375" spans="1:7">
      <c r="A375" s="3271" t="s">
        <v>2852</v>
      </c>
      <c r="B375" s="3260" t="s">
        <v>2921</v>
      </c>
      <c r="C375" s="3261">
        <v>0.15</v>
      </c>
      <c r="D375" s="3261">
        <v>0.15</v>
      </c>
      <c r="E375" s="3261">
        <v>0.15</v>
      </c>
      <c r="F375" s="3261">
        <v>0.13</v>
      </c>
      <c r="G375" s="3262">
        <v>0.15</v>
      </c>
    </row>
    <row r="376" spans="1:7">
      <c r="A376" s="3271" t="s">
        <v>2852</v>
      </c>
      <c r="B376" s="3260" t="s">
        <v>277</v>
      </c>
      <c r="C376" s="3261">
        <v>0.15</v>
      </c>
      <c r="D376" s="3261">
        <v>0.15</v>
      </c>
      <c r="E376" s="3261">
        <v>0.15</v>
      </c>
      <c r="F376" s="3261">
        <v>0.14199999999999999</v>
      </c>
      <c r="G376" s="3262">
        <v>0.15</v>
      </c>
    </row>
    <row r="377" spans="1:7" ht="15" thickBot="1">
      <c r="A377" s="3274" t="s">
        <v>2852</v>
      </c>
      <c r="B377" s="3264" t="s">
        <v>2927</v>
      </c>
      <c r="C377" s="3265">
        <v>0.15</v>
      </c>
      <c r="D377" s="3265">
        <v>0.15</v>
      </c>
      <c r="E377" s="3265">
        <v>0.15</v>
      </c>
      <c r="F377" s="3265">
        <v>0.14000000000000001</v>
      </c>
      <c r="G377" s="3267">
        <v>0.15</v>
      </c>
    </row>
    <row r="378" spans="1:7">
      <c r="A378" s="3270" t="s">
        <v>2853</v>
      </c>
      <c r="B378" s="3256" t="s">
        <v>2867</v>
      </c>
      <c r="C378" s="3257">
        <v>0.15</v>
      </c>
      <c r="D378" s="3257">
        <v>0.15</v>
      </c>
      <c r="E378" s="3257">
        <v>0.15</v>
      </c>
      <c r="F378" s="3257">
        <v>0.107</v>
      </c>
      <c r="G378" s="3258">
        <v>0.15</v>
      </c>
    </row>
    <row r="379" spans="1:7">
      <c r="A379" s="3271" t="s">
        <v>2853</v>
      </c>
      <c r="B379" s="3260" t="s">
        <v>2873</v>
      </c>
      <c r="C379" s="3261">
        <v>0.15</v>
      </c>
      <c r="D379" s="3261">
        <v>0.15</v>
      </c>
      <c r="E379" s="3261">
        <v>0.15</v>
      </c>
      <c r="F379" s="3261">
        <v>0.115</v>
      </c>
      <c r="G379" s="3262">
        <v>0.14899999999999999</v>
      </c>
    </row>
    <row r="380" spans="1:7">
      <c r="A380" s="3271" t="s">
        <v>2853</v>
      </c>
      <c r="B380" s="3260" t="s">
        <v>2879</v>
      </c>
      <c r="C380" s="3261">
        <v>0.15</v>
      </c>
      <c r="D380" s="3261">
        <v>0.15</v>
      </c>
      <c r="E380" s="3261">
        <v>0.15</v>
      </c>
      <c r="F380" s="3261">
        <v>0.1</v>
      </c>
      <c r="G380" s="3262">
        <v>0.14799999999999999</v>
      </c>
    </row>
    <row r="381" spans="1:7">
      <c r="A381" s="3271" t="s">
        <v>2853</v>
      </c>
      <c r="B381" s="3260" t="s">
        <v>2882</v>
      </c>
      <c r="C381" s="3261">
        <v>0.15</v>
      </c>
      <c r="D381" s="3261">
        <v>0.15</v>
      </c>
      <c r="E381" s="3261">
        <v>0.15</v>
      </c>
      <c r="F381" s="3261">
        <v>0.126</v>
      </c>
      <c r="G381" s="3262">
        <v>0.15</v>
      </c>
    </row>
    <row r="382" spans="1:7">
      <c r="A382" s="3271" t="s">
        <v>2853</v>
      </c>
      <c r="B382" s="3260" t="s">
        <v>2886</v>
      </c>
      <c r="C382" s="3261">
        <v>0.15</v>
      </c>
      <c r="D382" s="3261">
        <v>0.15</v>
      </c>
      <c r="E382" s="3261">
        <v>0.15</v>
      </c>
      <c r="F382" s="3261">
        <v>0.15</v>
      </c>
      <c r="G382" s="3262">
        <v>0.15</v>
      </c>
    </row>
    <row r="383" spans="1:7">
      <c r="A383" s="3271" t="s">
        <v>2853</v>
      </c>
      <c r="B383" s="3260" t="s">
        <v>2891</v>
      </c>
      <c r="C383" s="3261">
        <v>0.15</v>
      </c>
      <c r="D383" s="3261">
        <v>0.15</v>
      </c>
      <c r="E383" s="3261">
        <v>0.15</v>
      </c>
      <c r="F383" s="3261">
        <v>0.14699999999999999</v>
      </c>
      <c r="G383" s="3262">
        <v>0.15</v>
      </c>
    </row>
    <row r="384" spans="1:7" ht="15" thickBot="1">
      <c r="A384" s="3281" t="s">
        <v>2853</v>
      </c>
      <c r="B384" s="3282" t="s">
        <v>2895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6"/>
  </cols>
  <sheetData>
    <row r="1" spans="1:6">
      <c r="A1" s="3918" t="s">
        <v>3234</v>
      </c>
      <c r="B1" s="3918"/>
      <c r="C1" s="3918"/>
      <c r="D1" s="3918"/>
      <c r="E1" s="3918"/>
      <c r="F1" s="3919"/>
    </row>
    <row r="2" spans="1:6">
      <c r="A2" s="3287" t="s">
        <v>3235</v>
      </c>
      <c r="B2" s="3288"/>
      <c r="C2" s="3288"/>
      <c r="D2" s="3288"/>
      <c r="E2" s="3288"/>
      <c r="F2" s="3288"/>
    </row>
    <row r="3" spans="1:6">
      <c r="A3" s="3287" t="s">
        <v>3236</v>
      </c>
      <c r="B3" s="3288"/>
      <c r="C3" s="3288"/>
      <c r="D3" s="3288"/>
      <c r="E3" s="3288"/>
      <c r="F3" s="3289" t="s">
        <v>3237</v>
      </c>
    </row>
    <row r="4" spans="1:6">
      <c r="A4" s="3290" t="s">
        <v>668</v>
      </c>
      <c r="B4" s="3290" t="s">
        <v>669</v>
      </c>
      <c r="C4" s="3290" t="s">
        <v>21</v>
      </c>
      <c r="D4" s="3290" t="s">
        <v>670</v>
      </c>
      <c r="E4" s="3290" t="s">
        <v>3</v>
      </c>
      <c r="F4" s="3290" t="s">
        <v>3238</v>
      </c>
    </row>
    <row r="5" spans="1:6">
      <c r="A5" s="3291" t="s">
        <v>671</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0" sqref="I40"/>
    </sheetView>
  </sheetViews>
  <sheetFormatPr defaultRowHeight="14.4"/>
  <cols>
    <col min="1" max="1" width="13.88671875" customWidth="1"/>
    <col min="11" max="17" width="0" hidden="1" customWidth="1"/>
    <col min="25" max="30" width="0" hidden="1" customWidth="1"/>
  </cols>
  <sheetData>
    <row r="1" spans="1:30">
      <c r="A1" s="3217">
        <f>基准地价修正!G23</f>
        <v>45086</v>
      </c>
      <c r="B1" s="3206" t="s">
        <v>2840</v>
      </c>
      <c r="C1" s="3207"/>
      <c r="D1" s="3207"/>
      <c r="E1" s="3207"/>
      <c r="F1" s="3207"/>
      <c r="G1" s="3207"/>
      <c r="H1" s="3207"/>
      <c r="I1" s="3207"/>
      <c r="J1" s="3161"/>
      <c r="K1" s="3207" t="s">
        <v>454</v>
      </c>
      <c r="L1" s="3207"/>
      <c r="M1" s="3207"/>
      <c r="N1" s="3207"/>
      <c r="O1" s="3207"/>
      <c r="P1" s="3207"/>
      <c r="Q1" s="3161"/>
      <c r="R1" s="3920" t="s">
        <v>456</v>
      </c>
      <c r="S1" s="3921"/>
      <c r="T1" s="3921"/>
      <c r="U1" s="3921"/>
      <c r="V1" s="3921"/>
      <c r="W1" s="3921"/>
      <c r="X1" s="3161"/>
      <c r="Y1" s="3920" t="s">
        <v>457</v>
      </c>
      <c r="Z1" s="3921"/>
      <c r="AA1" s="3921"/>
      <c r="AB1" s="3921"/>
      <c r="AC1" s="3921"/>
      <c r="AD1" s="3921"/>
    </row>
    <row r="2" spans="1:30" s="3139" customFormat="1" ht="1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3.2">
      <c r="A3" s="3145" t="s">
        <v>2817</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3.2">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3.2">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81" customFormat="1" ht="13.2">
      <c r="A8" s="3172" t="s">
        <v>2818</v>
      </c>
      <c r="B8" s="3173">
        <v>2023</v>
      </c>
      <c r="C8" s="3174">
        <v>1</v>
      </c>
      <c r="D8" s="3175">
        <v>0.89</v>
      </c>
      <c r="E8" s="3175">
        <v>0.74</v>
      </c>
      <c r="F8" s="3175">
        <v>0.56999999999999995</v>
      </c>
      <c r="G8" s="3175">
        <v>0.92</v>
      </c>
      <c r="H8" s="3175">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91" customFormat="1" ht="13.2">
      <c r="A9" s="3182" t="s">
        <v>2819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ROUND(IF([4]项目基本情况!B8="出让",SUMPRODUCT(PRODUCT(1+K9:K16)),SUMPRODUCT(PRODUCT(1+K9:K15))),4)</f>
        <v>1.0565</v>
      </c>
      <c r="S9" s="3188">
        <f>ROUND(IF([4]项目基本情况!B8="出让",SUMPRODUCT(PRODUCT(1+L9:L16)),SUMPRODUCT(PRODUCT(1+L9:L15))),4)</f>
        <v>1.0250999999999999</v>
      </c>
      <c r="T9" s="3188">
        <f>ROUND(IF([4]项目基本情况!B8="出让",SUMPRODUCT(PRODUCT(1+M9:M16)),SUMPRODUCT(PRODUCT(1+M9:M15))),4)</f>
        <v>1.0145</v>
      </c>
      <c r="U9" s="3188">
        <f>ROUND(IF([4]项目基本情况!B8="出让",SUMPRODUCT(PRODUCT(1+N9:N16)),SUMPRODUCT(PRODUCT(1+N9:N15))),4)</f>
        <v>1.0618000000000001</v>
      </c>
      <c r="V9" s="3188">
        <f>ROUND(IF([4]项目基本情况!B8="出让",SUMPRODUCT(PRODUCT(1+O9:O16)),SUMPRODUCT(PRODUCT(1+O9:O15))),4)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3.2">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ROUND(IF([4]项目基本情况!B8="出让",SUMPRODUCT(PRODUCT(1+K10:K16)),SUMPRODUCT(PRODUCT(1+K10:K15))),4)</f>
        <v>1.05</v>
      </c>
      <c r="S10" s="3179">
        <f>ROUND(IF([4]项目基本情况!B8="出让",SUMPRODUCT(PRODUCT(1+L10:L16)),SUMPRODUCT(PRODUCT(1+L10:L15))),4)</f>
        <v>1.0229999999999999</v>
      </c>
      <c r="T10" s="3179">
        <f>ROUND(IF([4]项目基本情况!B8="出让",SUMPRODUCT(PRODUCT(1+M10:M16)),SUMPRODUCT(PRODUCT(1+M10:M15))),4)</f>
        <v>1.0134000000000001</v>
      </c>
      <c r="U10" s="3179">
        <f>ROUND(IF([4]项目基本情况!B8="出让",SUMPRODUCT(PRODUCT(1+N10:N16)),SUMPRODUCT(PRODUCT(1+N10:N15))),4)</f>
        <v>1.0545</v>
      </c>
      <c r="V10" s="3179">
        <f>ROUND(IF([4]项目基本情况!B8="出让",SUMPRODUCT(PRODUCT(1+O10:O16)),SUMPRODUCT(PRODUCT(1+O10:O15))),4)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3.2">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ROUND(IF([4]项目基本情况!B8="出让",SUMPRODUCT(PRODUCT(1+K11:K16)),SUMPRODUCT(PRODUCT(1+K11:K15))),4)</f>
        <v>1.0430999999999999</v>
      </c>
      <c r="S11" s="3179">
        <f>ROUND(IF([4]项目基本情况!B8="出让",SUMPRODUCT(PRODUCT(1+L11:L16)),SUMPRODUCT(PRODUCT(1+L11:L15))),4)</f>
        <v>1.0197000000000001</v>
      </c>
      <c r="T11" s="3179">
        <f>ROUND(IF([4]项目基本情况!B8="出让",SUMPRODUCT(PRODUCT(1+M11:M16)),SUMPRODUCT(PRODUCT(1+M11:M15))),4)</f>
        <v>1.0109999999999999</v>
      </c>
      <c r="U11" s="3179">
        <f>ROUND(IF([4]项目基本情况!B8="出让",SUMPRODUCT(PRODUCT(1+N11:N16)),SUMPRODUCT(PRODUCT(1+N11:N15))),4)</f>
        <v>1.0468999999999999</v>
      </c>
      <c r="V11" s="3179">
        <f>ROUND(IF([4]项目基本情况!B8="出让",SUMPRODUCT(PRODUCT(1+O11:O16)),SUMPRODUCT(PRODUCT(1+O11:O15))),4)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3.2">
      <c r="A12" s="3172" t="s">
        <v>2820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ROUND(IF([4]项目基本情况!B8="出让",SUMPRODUCT(PRODUCT(1+K12:K16)),SUMPRODUCT(PRODUCT(1+K12:K15))),4)</f>
        <v>1.0335000000000001</v>
      </c>
      <c r="S12" s="3179">
        <f>ROUND(IF([4]项目基本情况!B8="出让",SUMPRODUCT(PRODUCT(1+L12:L16)),SUMPRODUCT(PRODUCT(1+L12:L15))),4)</f>
        <v>1.0182</v>
      </c>
      <c r="T12" s="3179">
        <f>ROUND(IF([4]项目基本情况!B8="出让",SUMPRODUCT(PRODUCT(1+M12:M16)),SUMPRODUCT(PRODUCT(1+M12:M15))),4)</f>
        <v>1.0108999999999999</v>
      </c>
      <c r="U12" s="3179">
        <f>ROUND(IF([4]项目基本情况!B8="出让",SUMPRODUCT(PRODUCT(1+N12:N16)),SUMPRODUCT(PRODUCT(1+N12:N15))),4)</f>
        <v>1.0361</v>
      </c>
      <c r="V12" s="3179">
        <f>ROUND(IF([4]项目基本情况!B8="出让",SUMPRODUCT(PRODUCT(1+O12:O16)),SUMPRODUCT(PRODUCT(1+O12:O15))),4)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3.2">
      <c r="A13" s="3172" t="s">
        <v>2821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ROUND(IF([4]项目基本情况!B8="出让",SUMPRODUCT(PRODUCT(1+K13:K16)),SUMPRODUCT(PRODUCT(1+K13:K15))),4)</f>
        <v>1.0244</v>
      </c>
      <c r="S13" s="3179">
        <f>ROUND(IF([4]项目基本情况!B8="出让",SUMPRODUCT(PRODUCT(1+L13:L16)),SUMPRODUCT(PRODUCT(1+L13:L15))),4)</f>
        <v>1.0138</v>
      </c>
      <c r="T13" s="3179">
        <f>ROUND(IF([4]项目基本情况!B8="出让",SUMPRODUCT(PRODUCT(1+M13:M16)),SUMPRODUCT(PRODUCT(1+M13:M15))),4)</f>
        <v>1.0072000000000001</v>
      </c>
      <c r="U13" s="3179">
        <f>ROUND(IF([4]项目基本情况!B8="出让",SUMPRODUCT(PRODUCT(1+N13:N16)),SUMPRODUCT(PRODUCT(1+N13:N15))),4)</f>
        <v>1.0262</v>
      </c>
      <c r="V13" s="3179">
        <f>ROUND(IF([4]项目基本情况!B8="出让",SUMPRODUCT(PRODUCT(1+O13:O16)),SUMPRODUCT(PRODUCT(1+O13:O15))),4)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3.2">
      <c r="A14" s="3172" t="s">
        <v>2822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ROUND(IF([4]项目基本情况!B8="出让",SUMPRODUCT(PRODUCT(1+K14:K16)),SUMPRODUCT(PRODUCT(1+K14:K15))),4)</f>
        <v>1.0139</v>
      </c>
      <c r="S14" s="3179">
        <f>ROUND(IF([4]项目基本情况!B8="出让",SUMPRODUCT(PRODUCT(1+L14:L16)),SUMPRODUCT(PRODUCT(1+L14:L15))),4)</f>
        <v>1.0113000000000001</v>
      </c>
      <c r="T14" s="3179">
        <f>ROUND(IF([4]项目基本情况!B8="出让",SUMPRODUCT(PRODUCT(1+M14:M16)),SUMPRODUCT(PRODUCT(1+M14:M15))),4)</f>
        <v>1.0065</v>
      </c>
      <c r="U14" s="3179">
        <f>ROUND(IF([4]项目基本情况!B8="出让",SUMPRODUCT(PRODUCT(1+N14:N16)),SUMPRODUCT(PRODUCT(1+N14:N15))),4)</f>
        <v>1.0143</v>
      </c>
      <c r="V14" s="3179">
        <f>ROUND(IF([4]项目基本情况!B8="出让",SUMPRODUCT(PRODUCT(1+O14:O16)),SUMPRODUCT(PRODUCT(1+O14:O15))),4)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3.2">
      <c r="A15" s="3172" t="s">
        <v>2823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ROUND(IF([4]项目基本情况!B8="出让",SUMPRODUCT(PRODUCT(1+K15:K16)),SUMPRODUCT(PRODUCT(1+K15:K15))),4)</f>
        <v>1.0092000000000001</v>
      </c>
      <c r="S15" s="3179">
        <f>ROUND(IF([4]项目基本情况!B8="出让",SUMPRODUCT(PRODUCT(1+L15:L16)),SUMPRODUCT(PRODUCT(1+L15:L15))),4)</f>
        <v>1.0072000000000001</v>
      </c>
      <c r="T15" s="3179">
        <f>ROUND(IF([4]项目基本情况!B8="出让",SUMPRODUCT(PRODUCT(1+M15:M16)),SUMPRODUCT(PRODUCT(1+M15:M15))),4)</f>
        <v>1.0041</v>
      </c>
      <c r="U15" s="3179">
        <f>ROUND(IF([4]项目基本情况!B8="出让",SUMPRODUCT(PRODUCT(1+N15:N16)),SUMPRODUCT(PRODUCT(1+N15:N15))),4)</f>
        <v>1.0095000000000001</v>
      </c>
      <c r="V15" s="3179">
        <f>ROUND(IF([4]项目基本情况!B8="出让",SUMPRODUCT(PRODUCT(1+O15:O16)),SUMPRODUCT(PRODUCT(1+O15:O15))),4)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ht="13.8" thickBot="1">
      <c r="A16" s="3193" t="s">
        <v>2824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5" thickTop="1"/>
    <row r="18" spans="1:30" s="3005" customFormat="1">
      <c r="A18" s="3444" t="s">
        <v>3368</v>
      </c>
    </row>
    <row r="19" spans="1:30" s="3005" customFormat="1">
      <c r="I19" s="3204" t="s">
        <v>2825</v>
      </c>
    </row>
    <row r="20" spans="1:30" s="3005" customFormat="1"/>
    <row r="21" spans="1:30" s="3205" customFormat="1" ht="13.2">
      <c r="B21" s="3206" t="s">
        <v>2826</v>
      </c>
      <c r="C21" s="3207"/>
      <c r="D21" s="3207"/>
      <c r="E21" s="3207"/>
      <c r="F21" s="3207"/>
      <c r="G21" s="3207"/>
      <c r="H21" s="3207"/>
      <c r="I21" s="3207"/>
      <c r="J21" s="3161"/>
      <c r="K21" s="3207" t="s">
        <v>2827</v>
      </c>
      <c r="L21" s="3207"/>
      <c r="M21" s="3207"/>
      <c r="N21" s="3207"/>
      <c r="O21" s="3207"/>
      <c r="P21" s="3207"/>
      <c r="Q21" s="3161"/>
      <c r="R21" s="3920" t="s">
        <v>2828</v>
      </c>
      <c r="S21" s="3921"/>
      <c r="T21" s="3921"/>
      <c r="U21" s="3921"/>
      <c r="V21" s="3921"/>
      <c r="W21" s="3921"/>
      <c r="X21" s="3161"/>
      <c r="Y21" s="3920" t="s">
        <v>2829</v>
      </c>
      <c r="Z21" s="3921"/>
      <c r="AA21" s="3921"/>
      <c r="AB21" s="3921"/>
      <c r="AC21" s="3921"/>
      <c r="AD21" s="3921"/>
    </row>
    <row r="22" spans="1:30" s="3139" customFormat="1" ht="15" thickBot="1">
      <c r="B22" s="3140"/>
      <c r="C22" s="3141"/>
      <c r="D22" s="3142" t="s">
        <v>2830</v>
      </c>
      <c r="E22" s="3143" t="s">
        <v>2831</v>
      </c>
      <c r="F22" s="3143" t="s">
        <v>2832</v>
      </c>
      <c r="G22" s="3143" t="s">
        <v>2833</v>
      </c>
      <c r="H22" s="3143"/>
      <c r="I22" s="3143" t="s">
        <v>2834</v>
      </c>
      <c r="J22" s="3144"/>
      <c r="K22" s="3142" t="s">
        <v>2830</v>
      </c>
      <c r="L22" s="3143" t="s">
        <v>2831</v>
      </c>
      <c r="M22" s="3143" t="s">
        <v>2832</v>
      </c>
      <c r="N22" s="3143" t="s">
        <v>2833</v>
      </c>
      <c r="O22" s="3143"/>
      <c r="P22" s="3143" t="s">
        <v>2834</v>
      </c>
      <c r="Q22" s="3144"/>
      <c r="R22" s="3142" t="s">
        <v>2830</v>
      </c>
      <c r="S22" s="3143" t="s">
        <v>2831</v>
      </c>
      <c r="T22" s="3143" t="s">
        <v>2832</v>
      </c>
      <c r="U22" s="3143" t="s">
        <v>2833</v>
      </c>
      <c r="V22" s="3143"/>
      <c r="W22" s="3143" t="s">
        <v>2834</v>
      </c>
      <c r="X22" s="3144"/>
      <c r="Y22" s="3142" t="s">
        <v>2830</v>
      </c>
      <c r="Z22" s="3143" t="s">
        <v>2831</v>
      </c>
      <c r="AA22" s="3143" t="s">
        <v>2832</v>
      </c>
      <c r="AB22" s="3143" t="s">
        <v>2833</v>
      </c>
      <c r="AC22" s="3143"/>
      <c r="AD22" s="3143" t="s">
        <v>2834</v>
      </c>
    </row>
    <row r="23" spans="1:30" s="3157" customFormat="1" ht="13.2">
      <c r="A23" s="3145" t="s">
        <v>2835</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3.2">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3.2">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ROUND(IF([4]项目基本情况!$B$8="出让",SUMPRODUCT(PRODUCT(1+L25:L$36)),SUMPRODUCT(PRODUCT(1+L25:L$35))),4)</f>
        <v>1.0344</v>
      </c>
      <c r="T25" s="3179">
        <f>ROUND(IF([4]项目基本情况!$B$8="出让",SUMPRODUCT(PRODUCT(1+M25:M$36)),SUMPRODUCT(PRODUCT(1+M25:M$35))),4)</f>
        <v>1.0224</v>
      </c>
      <c r="U25" s="3179">
        <f>ROUND(IF([4]项目基本情况!$B$8="出让",SUMPRODUCT(PRODUCT(1+N25:N$36)),SUMPRODUCT(PRODUCT(1+N25:N$35))),4)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3.2">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ROUND(IF([4]项目基本情况!$B$8="出让",SUMPRODUCT(PRODUCT(1+L26:L$36)),SUMPRODUCT(PRODUCT(1+L26:L$35))),4)</f>
        <v>1.0344</v>
      </c>
      <c r="T26" s="3179">
        <f>ROUND(IF([4]项目基本情况!$B$8="出让",SUMPRODUCT(PRODUCT(1+M26:M$36)),SUMPRODUCT(PRODUCT(1+M26:M$35))),4)</f>
        <v>1.0224</v>
      </c>
      <c r="U26" s="3179">
        <f>ROUND(IF([4]项目基本情况!$B$8="出让",SUMPRODUCT(PRODUCT(1+N26:N$36)),SUMPRODUCT(PRODUCT(1+N26:N$35))),4)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3.2">
      <c r="A27" s="3172" t="s">
        <v>3370</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ROUND(IF([4]项目基本情况!$B$8="出让",SUMPRODUCT(PRODUCT(1+L27:L$36)),SUMPRODUCT(PRODUCT(1+L27:L$35))),4)</f>
        <v>1.0344</v>
      </c>
      <c r="T27" s="3179">
        <f>ROUND(IF([4]项目基本情况!$B$8="出让",SUMPRODUCT(PRODUCT(1+M27:M$36)),SUMPRODUCT(PRODUCT(1+M27:M$35))),4)</f>
        <v>1.0224</v>
      </c>
      <c r="U27" s="3179">
        <f>ROUND(IF([4]项目基本情况!$B$8="出让",SUMPRODUCT(PRODUCT(1+N27:N$36)),SUMPRODUCT(PRODUCT(1+N27:N$35))),4)</f>
        <v>1.0573999999999999</v>
      </c>
      <c r="V27" s="3179"/>
      <c r="W27" s="3179">
        <f t="shared" si="32"/>
        <v>1.0224</v>
      </c>
      <c r="X27" s="3177"/>
      <c r="Y27" s="3180"/>
      <c r="Z27" s="3208"/>
      <c r="AA27" s="3445"/>
      <c r="AB27" s="3445"/>
      <c r="AC27" s="3209"/>
      <c r="AD27" s="3180"/>
    </row>
    <row r="28" spans="1:30" s="3181" customFormat="1" ht="13.2">
      <c r="A28" s="3172" t="s">
        <v>2818</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ROUND(IF([4]项目基本情况!$B$8="出让",SUMPRODUCT(PRODUCT(1+L28:L$36)),SUMPRODUCT(PRODUCT(1+L28:L$35))),4)</f>
        <v>1.0344</v>
      </c>
      <c r="T28" s="3179">
        <f>ROUND(IF([4]项目基本情况!$B$8="出让",SUMPRODUCT(PRODUCT(1+M28:M$36)),SUMPRODUCT(PRODUCT(1+M28:M$35))),4)</f>
        <v>1.0224</v>
      </c>
      <c r="U28" s="3179">
        <f>ROUND(IF([4]项目基本情况!$B$8="出让",SUMPRODUCT(PRODUCT(1+N28:N$36)),SUMPRODUCT(PRODUCT(1+N28:N$35))),4)</f>
        <v>1.0573999999999999</v>
      </c>
      <c r="V28" s="3179"/>
      <c r="W28" s="3179">
        <f t="shared" si="32"/>
        <v>1.0224</v>
      </c>
      <c r="X28" s="3177"/>
      <c r="Y28" s="3180"/>
      <c r="Z28" s="3208"/>
      <c r="AA28" s="3445"/>
      <c r="AB28" s="3445"/>
      <c r="AC28" s="3209"/>
      <c r="AD28" s="3180"/>
    </row>
    <row r="29" spans="1:30" s="3191" customFormat="1" ht="13.2">
      <c r="A29" s="3182" t="s">
        <v>3366</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ROUND(IF([4]项目基本情况!$B$8="出让",SUMPRODUCT(PRODUCT(1+L29:L$36)),SUMPRODUCT(PRODUCT(1+L29:L$35))),4)</f>
        <v>1.0286999999999999</v>
      </c>
      <c r="T29" s="3188">
        <f>ROUND(IF([4]项目基本情况!$B$8="出让",SUMPRODUCT(PRODUCT(1+M29:M$36)),SUMPRODUCT(PRODUCT(1+M29:M$35))),4)</f>
        <v>1.0164</v>
      </c>
      <c r="U29" s="3188">
        <f>ROUND(IF([4]项目基本情况!$B$8="出让",SUMPRODUCT(PRODUCT(1+N29:N$36)),SUMPRODUCT(PRODUCT(1+N29:N$35))),4)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3.2">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ROUND(IF([4]项目基本情况!$B$8="出让",SUMPRODUCT(PRODUCT(1+L30:L$36)),SUMPRODUCT(PRODUCT(1+L30:L$35))),4)</f>
        <v>1.0241</v>
      </c>
      <c r="T30" s="3179">
        <f>ROUND(IF([4]项目基本情况!$B$8="出让",SUMPRODUCT(PRODUCT(1+M30:M$36)),SUMPRODUCT(PRODUCT(1+M30:M$35))),4)</f>
        <v>1.0144</v>
      </c>
      <c r="U30" s="3179">
        <f>ROUND(IF([4]项目基本情况!$B$8="出让",SUMPRODUCT(PRODUCT(1+N30:N$36)),SUMPRODUCT(PRODUCT(1+N30:N$35))),4)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3.2">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ROUND(IF([4]项目基本情况!$B$8="出让",SUMPRODUCT(PRODUCT(1+L31:L$36)),SUMPRODUCT(PRODUCT(1+L31:L$35))),4)</f>
        <v>1.0210999999999999</v>
      </c>
      <c r="T31" s="3179">
        <f>ROUND(IF([4]项目基本情况!$B$8="出让",SUMPRODUCT(PRODUCT(1+M31:M$36)),SUMPRODUCT(PRODUCT(1+M31:M$35))),4)</f>
        <v>1.0114000000000001</v>
      </c>
      <c r="U31" s="3179">
        <f>ROUND(IF([4]项目基本情况!$B$8="出让",SUMPRODUCT(PRODUCT(1+N31:N$36)),SUMPRODUCT(PRODUCT(1+N31:N$35))),4)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3.2">
      <c r="A32" s="3172" t="s">
        <v>2836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ROUND(IF([4]项目基本情况!$B$8="出让",SUMPRODUCT(PRODUCT(1+L32:L$36)),SUMPRODUCT(PRODUCT(1+L32:L$35))),4)</f>
        <v>1.0222</v>
      </c>
      <c r="T32" s="3179">
        <f>ROUND(IF([4]项目基本情况!$B$8="出让",SUMPRODUCT(PRODUCT(1+M32:M$36)),SUMPRODUCT(PRODUCT(1+M32:M$35))),4)</f>
        <v>1.0127999999999999</v>
      </c>
      <c r="U32" s="3179">
        <f>ROUND(IF([4]项目基本情况!$B$8="出让",SUMPRODUCT(PRODUCT(1+N32:N$36)),SUMPRODUCT(PRODUCT(1+N32:N$35))),4)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3.2">
      <c r="A33" s="3172" t="s">
        <v>2837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ROUND(IF([4]项目基本情况!$B$8="出让",SUMPRODUCT(PRODUCT(1+L33:L$36)),SUMPRODUCT(PRODUCT(1+L33:L$35))),4)</f>
        <v>1.0161</v>
      </c>
      <c r="T33" s="3179">
        <f>ROUND(IF([4]项目基本情况!$B$8="出让",SUMPRODUCT(PRODUCT(1+M33:M$36)),SUMPRODUCT(PRODUCT(1+M33:M$35))),4)</f>
        <v>1.0082</v>
      </c>
      <c r="U33" s="3179">
        <f>ROUND(IF([4]项目基本情况!$B$8="出让",SUMPRODUCT(PRODUCT(1+N33:N$36)),SUMPRODUCT(PRODUCT(1+N33:N$35))),4)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3.2">
      <c r="A34" s="3172" t="s">
        <v>2838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ROUND(IF([4]项目基本情况!$B$8="出让",SUMPRODUCT(PRODUCT(1+L34:L$36)),SUMPRODUCT(PRODUCT(1+L34:L$35))),4)</f>
        <v>1.0102</v>
      </c>
      <c r="T34" s="3179">
        <f>ROUND(IF([4]项目基本情况!$B$8="出让",SUMPRODUCT(PRODUCT(1+M34:M$36)),SUMPRODUCT(PRODUCT(1+M34:M$35))),4)</f>
        <v>1.0074000000000001</v>
      </c>
      <c r="U34" s="3179">
        <f>ROUND(IF([4]项目基本情况!$B$8="出让",SUMPRODUCT(PRODUCT(1+N34:N$36)),SUMPRODUCT(PRODUCT(1+N34:N$35))),4)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3.2">
      <c r="A35" s="3172" t="s">
        <v>2839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ROUND(IF([4]项目基本情况!$B$8="出让",SUMPRODUCT(PRODUCT(1+L35:L$36)),SUMPRODUCT(PRODUCT(1+L35:L$35))),4)</f>
        <v>1.0055000000000001</v>
      </c>
      <c r="T35" s="3179">
        <f>ROUND(IF([4]项目基本情况!$B$8="出让",SUMPRODUCT(PRODUCT(1+M35:M$36)),SUMPRODUCT(PRODUCT(1+M35:M$35))),4)</f>
        <v>1.0045999999999999</v>
      </c>
      <c r="U35" s="3179">
        <f>ROUND(IF([4]项目基本情况!$B$8="出让",SUMPRODUCT(PRODUCT(1+N35:N$36)),SUMPRODUCT(PRODUCT(1+N35:N$35))),4)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ht="13.8" thickBot="1">
      <c r="A36" s="3193" t="s">
        <v>2824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5" thickTop="1"/>
    <row r="38" spans="1:30">
      <c r="A38" s="3444"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8"/>
    <col min="2" max="6" width="9" style="2188" customWidth="1"/>
    <col min="7" max="7" width="9" style="2226"/>
    <col min="8" max="8" width="9" style="2188"/>
    <col min="9" max="12" width="9" style="2188" customWidth="1"/>
    <col min="13" max="13" width="2.21875" style="2188" customWidth="1"/>
    <col min="14" max="14" width="9" style="2226" customWidth="1"/>
    <col min="15" max="17" width="9" style="2188" customWidth="1"/>
    <col min="18" max="18" width="2.33203125" style="2188" customWidth="1"/>
    <col min="19" max="19" width="7.109375" style="2226" customWidth="1"/>
    <col min="20" max="22" width="7.109375" style="2188" customWidth="1"/>
    <col min="23" max="23" width="24.21875" style="2188" customWidth="1"/>
    <col min="24" max="25" width="9" style="2188"/>
    <col min="26" max="27" width="11.6640625" style="2188" customWidth="1"/>
    <col min="28" max="28" width="9" style="2188"/>
    <col min="29" max="29" width="2" style="2188" customWidth="1"/>
    <col min="30" max="16384" width="9" style="2188"/>
  </cols>
  <sheetData>
    <row r="1" spans="1:34" s="2167" customFormat="1">
      <c r="B1" s="3927" t="s">
        <v>452</v>
      </c>
      <c r="C1" s="3927"/>
      <c r="D1" s="3927"/>
      <c r="E1" s="3927"/>
      <c r="F1" s="3927"/>
      <c r="G1" s="3923" t="s">
        <v>453</v>
      </c>
      <c r="H1" s="3923"/>
      <c r="I1" s="3923"/>
      <c r="J1" s="3923"/>
      <c r="K1" s="3923"/>
      <c r="L1" s="3923"/>
      <c r="N1" s="3923" t="s">
        <v>454</v>
      </c>
      <c r="O1" s="3923"/>
      <c r="P1" s="3923"/>
      <c r="Q1" s="3923"/>
      <c r="S1" s="3923" t="s">
        <v>455</v>
      </c>
      <c r="T1" s="3923"/>
      <c r="U1" s="3923"/>
      <c r="V1" s="3923"/>
      <c r="X1" s="3922" t="s">
        <v>456</v>
      </c>
      <c r="Y1" s="3923"/>
      <c r="Z1" s="3923"/>
      <c r="AA1" s="3923"/>
      <c r="AB1" s="3923"/>
      <c r="AD1" s="3922" t="s">
        <v>457</v>
      </c>
      <c r="AE1" s="3923"/>
      <c r="AF1" s="3923"/>
      <c r="AG1" s="3923"/>
      <c r="AH1" s="3923"/>
    </row>
    <row r="2" spans="1:34" s="2168" customFormat="1" ht="15" thickBot="1">
      <c r="B2" s="2169" t="s">
        <v>458</v>
      </c>
      <c r="C2" s="2169" t="s">
        <v>459</v>
      </c>
      <c r="D2" s="2170" t="s">
        <v>460</v>
      </c>
      <c r="E2" s="2170" t="s">
        <v>461</v>
      </c>
      <c r="F2" s="2169" t="s">
        <v>462</v>
      </c>
      <c r="G2" s="2171"/>
      <c r="I2" s="2169" t="s">
        <v>458</v>
      </c>
      <c r="J2" s="2170" t="s">
        <v>672</v>
      </c>
      <c r="K2" s="2170" t="s">
        <v>308</v>
      </c>
      <c r="L2" s="2169" t="s">
        <v>462</v>
      </c>
      <c r="N2" s="2169" t="s">
        <v>458</v>
      </c>
      <c r="O2" s="2170" t="s">
        <v>672</v>
      </c>
      <c r="P2" s="2170" t="s">
        <v>308</v>
      </c>
      <c r="Q2" s="2169" t="s">
        <v>462</v>
      </c>
      <c r="S2" s="2169" t="s">
        <v>458</v>
      </c>
      <c r="T2" s="2170" t="s">
        <v>672</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4">
      <c r="A3" s="2172" t="s">
        <v>2110</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4">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2111</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2434</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2311</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2310</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2309</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2126</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2124</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2123</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8" thickBot="1">
      <c r="A18" s="2201" t="s">
        <v>2122</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2120</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8" thickBot="1">
      <c r="A20" s="2201" t="s">
        <v>2119</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2121</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2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 customHeight="1">
      <c r="A22" s="2201" t="s">
        <v>2117</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2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 customHeight="1">
      <c r="A23" s="2201" t="s">
        <v>2116</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2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2109</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32"/>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2107</v>
      </c>
      <c r="B25" s="2216">
        <v>439</v>
      </c>
      <c r="C25" s="2216">
        <v>327</v>
      </c>
      <c r="D25" s="2216">
        <f>C25</f>
        <v>327</v>
      </c>
      <c r="E25" s="2216">
        <v>627</v>
      </c>
      <c r="F25" s="2217">
        <v>283</v>
      </c>
      <c r="G25" s="3928">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 customHeight="1">
      <c r="A26" s="2201" t="s">
        <v>2108</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2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 customHeight="1">
      <c r="A27" s="2201" t="s">
        <v>673</v>
      </c>
      <c r="B27" s="2202">
        <f t="shared" si="232"/>
        <v>419.31181600000002</v>
      </c>
      <c r="C27" s="2202">
        <f t="shared" si="233"/>
        <v>313.95436800000004</v>
      </c>
      <c r="D27" s="2202">
        <f t="shared" si="234"/>
        <v>313.95436800000004</v>
      </c>
      <c r="E27" s="2202">
        <f t="shared" si="235"/>
        <v>596.63028431999999</v>
      </c>
      <c r="F27" s="2202">
        <f t="shared" si="236"/>
        <v>274.74220703999998</v>
      </c>
      <c r="G27" s="392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32"/>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28">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2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2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8"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2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8" thickBot="1">
      <c r="A33" s="2201" t="s">
        <v>124</v>
      </c>
      <c r="B33" s="2216">
        <v>333</v>
      </c>
      <c r="C33" s="2216">
        <v>277</v>
      </c>
      <c r="D33" s="2216">
        <f t="shared" si="246"/>
        <v>277</v>
      </c>
      <c r="E33" s="2216">
        <v>459</v>
      </c>
      <c r="F33" s="2217">
        <v>249</v>
      </c>
      <c r="G33" s="392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2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2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2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8" thickBot="1">
      <c r="A37" s="2201" t="s">
        <v>120</v>
      </c>
      <c r="B37" s="2230">
        <v>318</v>
      </c>
      <c r="C37" s="2230">
        <v>268</v>
      </c>
      <c r="D37" s="2230">
        <f t="shared" si="246"/>
        <v>268</v>
      </c>
      <c r="E37" s="2230">
        <v>437</v>
      </c>
      <c r="F37" s="2231">
        <v>237</v>
      </c>
      <c r="G37" s="392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2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8"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2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8"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2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8" thickBot="1">
      <c r="A41" s="2201" t="s">
        <v>465</v>
      </c>
      <c r="B41" s="2216">
        <v>299</v>
      </c>
      <c r="C41" s="2216">
        <v>252</v>
      </c>
      <c r="D41" s="2216">
        <f t="shared" si="246"/>
        <v>252</v>
      </c>
      <c r="E41" s="2216">
        <v>409</v>
      </c>
      <c r="F41" s="2217">
        <v>227</v>
      </c>
      <c r="G41" s="3929">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30"/>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30"/>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31"/>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8" thickBot="1">
      <c r="A45" s="2201" t="s">
        <v>469</v>
      </c>
      <c r="B45" s="2251">
        <v>278</v>
      </c>
      <c r="C45" s="2251">
        <v>234</v>
      </c>
      <c r="D45" s="2251">
        <f t="shared" si="246"/>
        <v>234</v>
      </c>
      <c r="E45" s="2251">
        <v>379</v>
      </c>
      <c r="F45" s="2252">
        <v>220</v>
      </c>
      <c r="G45" s="392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2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2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8" thickBot="1">
      <c r="A48" s="2201" t="s">
        <v>472</v>
      </c>
      <c r="B48" s="2202">
        <f>B47/(1+N47)</f>
        <v>275.19025476197027</v>
      </c>
      <c r="C48" s="2253">
        <v>232</v>
      </c>
      <c r="D48" s="2253">
        <f t="shared" si="246"/>
        <v>232</v>
      </c>
      <c r="E48" s="2202">
        <f t="shared" si="257"/>
        <v>375.65990977608692</v>
      </c>
      <c r="F48" s="2202">
        <f t="shared" si="257"/>
        <v>214.12518283971252</v>
      </c>
      <c r="G48" s="392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8" thickBot="1">
      <c r="A49" s="2201" t="s">
        <v>473</v>
      </c>
      <c r="B49" s="2216">
        <v>275</v>
      </c>
      <c r="C49" s="2216">
        <v>232</v>
      </c>
      <c r="D49" s="2216">
        <f t="shared" si="246"/>
        <v>232</v>
      </c>
      <c r="E49" s="2216">
        <v>376</v>
      </c>
      <c r="F49" s="2217">
        <v>213</v>
      </c>
      <c r="G49" s="392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2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2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8"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2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8" thickBot="1">
      <c r="A53" s="2201" t="s">
        <v>477</v>
      </c>
      <c r="B53" s="2216">
        <v>269</v>
      </c>
      <c r="C53" s="2216">
        <v>221</v>
      </c>
      <c r="D53" s="2216">
        <f t="shared" si="246"/>
        <v>221</v>
      </c>
      <c r="E53" s="2216">
        <v>373</v>
      </c>
      <c r="F53" s="2217">
        <v>196</v>
      </c>
      <c r="G53" s="392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2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2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8"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2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8" thickBot="1">
      <c r="A57" s="2201" t="s">
        <v>481</v>
      </c>
      <c r="B57" s="2216">
        <v>220</v>
      </c>
      <c r="C57" s="2216">
        <v>187</v>
      </c>
      <c r="D57" s="2216">
        <f t="shared" si="246"/>
        <v>187</v>
      </c>
      <c r="E57" s="2216">
        <v>301</v>
      </c>
      <c r="F57" s="2217">
        <v>168</v>
      </c>
      <c r="G57" s="392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2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2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2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8" thickBot="1">
      <c r="A61" s="2201" t="s">
        <v>485</v>
      </c>
      <c r="B61" s="2251">
        <v>214</v>
      </c>
      <c r="C61" s="2251">
        <v>188</v>
      </c>
      <c r="D61" s="2251">
        <f t="shared" si="246"/>
        <v>188</v>
      </c>
      <c r="E61" s="2251">
        <v>289</v>
      </c>
      <c r="F61" s="2252">
        <v>166</v>
      </c>
      <c r="G61" s="392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2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2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8"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2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8" thickBot="1">
      <c r="A65" s="2201" t="s">
        <v>489</v>
      </c>
      <c r="B65" s="2216">
        <v>188</v>
      </c>
      <c r="C65" s="2216">
        <v>165</v>
      </c>
      <c r="D65" s="2216">
        <f t="shared" si="246"/>
        <v>165</v>
      </c>
      <c r="E65" s="2216">
        <v>254</v>
      </c>
      <c r="F65" s="2217">
        <v>148</v>
      </c>
      <c r="G65" s="392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2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2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2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8" thickBot="1">
      <c r="A69" s="2201" t="s">
        <v>493</v>
      </c>
      <c r="B69" s="2230">
        <v>159</v>
      </c>
      <c r="C69" s="2230">
        <v>141</v>
      </c>
      <c r="D69" s="2230">
        <f t="shared" si="246"/>
        <v>141</v>
      </c>
      <c r="E69" s="2230">
        <v>195</v>
      </c>
      <c r="F69" s="2231">
        <v>122</v>
      </c>
      <c r="G69" s="392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2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2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2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8" thickBot="1">
      <c r="A73" s="2201" t="s">
        <v>497</v>
      </c>
      <c r="B73" s="2230">
        <v>138</v>
      </c>
      <c r="C73" s="2230">
        <v>131</v>
      </c>
      <c r="D73" s="2230">
        <f t="shared" si="246"/>
        <v>131</v>
      </c>
      <c r="E73" s="2230">
        <v>155</v>
      </c>
      <c r="F73" s="2231">
        <v>114</v>
      </c>
      <c r="G73" s="392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2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2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2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8" thickBot="1">
      <c r="A77" s="2201" t="s">
        <v>501</v>
      </c>
      <c r="B77" s="2251">
        <v>121</v>
      </c>
      <c r="C77" s="2251">
        <v>122</v>
      </c>
      <c r="D77" s="2251">
        <f t="shared" si="246"/>
        <v>122</v>
      </c>
      <c r="E77" s="2251">
        <v>124</v>
      </c>
      <c r="F77" s="2252">
        <v>107</v>
      </c>
      <c r="G77" s="392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2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2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8"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2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8" thickBot="1">
      <c r="A81" s="2201" t="s">
        <v>505</v>
      </c>
      <c r="B81" s="2271">
        <v>111</v>
      </c>
      <c r="C81" s="2271">
        <v>114</v>
      </c>
      <c r="D81" s="2271">
        <f t="shared" si="246"/>
        <v>114</v>
      </c>
      <c r="E81" s="2271">
        <v>108</v>
      </c>
      <c r="F81" s="2272">
        <v>104</v>
      </c>
      <c r="G81" s="3924">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25">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25">
        <v>2003</v>
      </c>
      <c r="H83" s="2214">
        <v>2</v>
      </c>
      <c r="I83" s="2273"/>
      <c r="J83" s="2273"/>
      <c r="K83" s="2273"/>
      <c r="L83" s="2273"/>
      <c r="X83" s="2265"/>
      <c r="Y83" s="2265"/>
      <c r="Z83" s="2265"/>
    </row>
    <row r="84" spans="1:26" ht="13.8" thickBot="1">
      <c r="A84" s="2201" t="s">
        <v>508</v>
      </c>
      <c r="B84" s="2275">
        <f t="shared" si="282"/>
        <v>107.25</v>
      </c>
      <c r="C84" s="2275">
        <f t="shared" si="282"/>
        <v>108.75</v>
      </c>
      <c r="D84" s="2275">
        <f t="shared" si="246"/>
        <v>108.75</v>
      </c>
      <c r="E84" s="2275">
        <f t="shared" si="283"/>
        <v>105.75</v>
      </c>
      <c r="F84" s="2275">
        <f t="shared" si="283"/>
        <v>102.5</v>
      </c>
      <c r="G84" s="3926">
        <v>2003</v>
      </c>
      <c r="H84" s="2276">
        <v>1</v>
      </c>
      <c r="I84" s="2273"/>
      <c r="J84" s="2273"/>
      <c r="K84" s="2273"/>
      <c r="L84" s="2273"/>
      <c r="S84" s="2204"/>
      <c r="T84" s="2189"/>
      <c r="U84" s="2189"/>
      <c r="X84" s="2265"/>
      <c r="Y84" s="2265"/>
      <c r="Z84" s="2265"/>
    </row>
    <row r="85" spans="1:26" ht="13.8" thickBot="1">
      <c r="A85" s="2201" t="s">
        <v>509</v>
      </c>
      <c r="B85" s="2277">
        <v>106</v>
      </c>
      <c r="C85" s="2277">
        <v>107</v>
      </c>
      <c r="D85" s="2277">
        <f t="shared" si="246"/>
        <v>107</v>
      </c>
      <c r="E85" s="2277">
        <v>105</v>
      </c>
      <c r="F85" s="2278">
        <v>102</v>
      </c>
      <c r="G85" s="3924">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25">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25">
        <v>2002</v>
      </c>
      <c r="H87" s="2214">
        <v>2</v>
      </c>
      <c r="I87" s="2273"/>
      <c r="J87" s="2273"/>
      <c r="K87" s="2273"/>
      <c r="L87" s="2273"/>
      <c r="X87" s="2265"/>
      <c r="Y87" s="2265"/>
      <c r="Z87" s="2265"/>
    </row>
    <row r="88" spans="1:26" s="2238" customFormat="1" ht="13.8" thickBot="1">
      <c r="A88" s="2234" t="s">
        <v>512</v>
      </c>
      <c r="B88" s="2241">
        <f t="shared" si="284"/>
        <v>103</v>
      </c>
      <c r="C88" s="2241">
        <f t="shared" si="284"/>
        <v>104</v>
      </c>
      <c r="D88" s="2241">
        <f t="shared" si="246"/>
        <v>104</v>
      </c>
      <c r="E88" s="2241">
        <f t="shared" si="285"/>
        <v>103.5</v>
      </c>
      <c r="F88" s="2241">
        <f t="shared" si="285"/>
        <v>100.5</v>
      </c>
      <c r="G88" s="3926">
        <v>2002</v>
      </c>
      <c r="H88" s="2279">
        <v>1</v>
      </c>
      <c r="I88" s="2280"/>
      <c r="J88" s="2280"/>
      <c r="K88" s="2280"/>
      <c r="L88" s="2280"/>
      <c r="N88" s="2281"/>
      <c r="S88" s="2281"/>
      <c r="X88" s="2282"/>
      <c r="Y88" s="2282"/>
      <c r="Z88" s="2282"/>
    </row>
    <row r="89" spans="1:26" ht="13.8"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8"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8"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45086</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12" t="s">
        <v>2308</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0"/>
  <sheetViews>
    <sheetView workbookViewId="0">
      <selection activeCell="C32" sqref="C32"/>
    </sheetView>
  </sheetViews>
  <sheetFormatPr defaultColWidth="8" defaultRowHeight="12"/>
  <cols>
    <col min="1" max="1" width="8" style="3484"/>
    <col min="2" max="2" width="25" style="3484" customWidth="1"/>
    <col min="3" max="3" width="8.44140625" style="3484" bestFit="1" customWidth="1"/>
    <col min="4" max="4" width="11.33203125" style="3484" bestFit="1" customWidth="1"/>
    <col min="5" max="5" width="8.88671875" style="3484" customWidth="1"/>
    <col min="6" max="6" width="8.77734375" style="3484" customWidth="1"/>
    <col min="7" max="7" width="8.44140625" style="3484" customWidth="1"/>
    <col min="8" max="8" width="9.109375" style="3484" customWidth="1"/>
    <col min="9" max="9" width="9.21875" style="3484" customWidth="1"/>
    <col min="10" max="10" width="9.6640625" style="3484" customWidth="1"/>
    <col min="11" max="16384" width="8" style="3484"/>
  </cols>
  <sheetData>
    <row r="3" spans="2:10" ht="12.6" thickBot="1"/>
    <row r="4" spans="2:10" ht="12.6" thickTop="1">
      <c r="B4" s="3935" t="s">
        <v>3445</v>
      </c>
      <c r="C4" s="3935" t="s">
        <v>3446</v>
      </c>
      <c r="D4" s="3935" t="s">
        <v>3447</v>
      </c>
      <c r="E4" s="3937" t="s">
        <v>3456</v>
      </c>
      <c r="F4" s="3938"/>
      <c r="G4" s="3933" t="s">
        <v>3448</v>
      </c>
      <c r="H4" s="3934"/>
      <c r="I4" s="3933" t="s">
        <v>3449</v>
      </c>
      <c r="J4" s="3934"/>
    </row>
    <row r="5" spans="2:10">
      <c r="B5" s="3936"/>
      <c r="C5" s="3936"/>
      <c r="D5" s="3936"/>
      <c r="E5" s="3485" t="s">
        <v>3437</v>
      </c>
      <c r="F5" s="3485" t="s">
        <v>3450</v>
      </c>
      <c r="G5" s="3485" t="s">
        <v>3451</v>
      </c>
      <c r="H5" s="3485" t="s">
        <v>3450</v>
      </c>
      <c r="I5" s="3485" t="s">
        <v>3451</v>
      </c>
      <c r="J5" s="3485" t="s">
        <v>3450</v>
      </c>
    </row>
    <row r="6" spans="2:10" ht="36">
      <c r="B6" s="3486" t="s">
        <v>3452</v>
      </c>
      <c r="C6" s="3485">
        <f>结果表!B118</f>
        <v>19830.27</v>
      </c>
      <c r="D6" s="3485">
        <f>结果表!C118</f>
        <v>2506.06</v>
      </c>
      <c r="E6" s="3485">
        <f ca="1">结果表!D118</f>
        <v>63587</v>
      </c>
      <c r="F6" s="3485">
        <f ca="1">结果表!E118</f>
        <v>32066</v>
      </c>
      <c r="G6" s="3485">
        <f ca="1">结果表!F118</f>
        <v>17623</v>
      </c>
      <c r="H6" s="3485">
        <f ca="1">结果表!G118</f>
        <v>8887</v>
      </c>
      <c r="I6" s="3485">
        <f ca="1">结果表!H118</f>
        <v>81210</v>
      </c>
      <c r="J6" s="3485">
        <f ca="1">结果表!I118</f>
        <v>40953</v>
      </c>
    </row>
    <row r="7" spans="2:10" ht="36">
      <c r="B7" s="3486" t="s">
        <v>3453</v>
      </c>
      <c r="C7" s="3485">
        <f>'结果表-地下商业1'!B118</f>
        <v>31986.760000000002</v>
      </c>
      <c r="D7" s="3485">
        <f>'结果表-地下商业1'!C118</f>
        <v>4042.34</v>
      </c>
      <c r="E7" s="3485">
        <f ca="1">'结果表-地下商业1'!D118</f>
        <v>26735</v>
      </c>
      <c r="F7" s="3485">
        <f ca="1">'结果表-地下商业1'!E118</f>
        <v>8358</v>
      </c>
      <c r="G7" s="3485">
        <f ca="1">'结果表-地下商业1'!F118</f>
        <v>26843</v>
      </c>
      <c r="H7" s="3485">
        <f ca="1">'结果表-地下商业1'!G118</f>
        <v>8392</v>
      </c>
      <c r="I7" s="3485">
        <f ca="1">'结果表-地下商业1'!H118</f>
        <v>53578</v>
      </c>
      <c r="J7" s="3485">
        <f ca="1">'结果表-地下商业1'!I118</f>
        <v>16750</v>
      </c>
    </row>
    <row r="8" spans="2:10" ht="36">
      <c r="B8" s="3486" t="s">
        <v>3454</v>
      </c>
      <c r="C8" s="3485">
        <f>'结果表-地下车库'!B118</f>
        <v>30659.07</v>
      </c>
      <c r="D8" s="3485">
        <f>'结果表-地下车库'!C118</f>
        <v>3874.55</v>
      </c>
      <c r="E8" s="3485">
        <f ca="1">'结果表-地下车库'!D118</f>
        <v>7572</v>
      </c>
      <c r="F8" s="3485">
        <f ca="1">'结果表-地下车库'!E118</f>
        <v>2470</v>
      </c>
      <c r="G8" s="3485">
        <f ca="1">'结果表-地下车库'!F118</f>
        <v>13230</v>
      </c>
      <c r="H8" s="3485">
        <f ca="1">'结果表-地下车库'!G118</f>
        <v>4315</v>
      </c>
      <c r="I8" s="3485">
        <f ca="1">'结果表-地下车库'!H118</f>
        <v>20802</v>
      </c>
      <c r="J8" s="3485">
        <f ca="1">'结果表-地下车库'!I118</f>
        <v>6785</v>
      </c>
    </row>
    <row r="9" spans="2:10" ht="36.6" thickBot="1">
      <c r="B9" s="3487" t="s">
        <v>3455</v>
      </c>
      <c r="C9" s="3488">
        <f>'结果表-地下商业2'!B118</f>
        <v>16756.23</v>
      </c>
      <c r="D9" s="3488">
        <f>'结果表-地下商业2'!C118</f>
        <v>2117.5700000000002</v>
      </c>
      <c r="E9" s="3488">
        <f ca="1">'结果表-地下商业2'!D118</f>
        <v>13062</v>
      </c>
      <c r="F9" s="3488">
        <f ca="1">'结果表-地下商业2'!E118</f>
        <v>7795</v>
      </c>
      <c r="G9" s="3488">
        <f ca="1">'结果表-地下商业2'!F118</f>
        <v>14037</v>
      </c>
      <c r="H9" s="3488">
        <f ca="1">'结果表-地下商业2'!G118</f>
        <v>8377</v>
      </c>
      <c r="I9" s="3488">
        <f ca="1">'结果表-地下商业2'!H118</f>
        <v>27099</v>
      </c>
      <c r="J9" s="3488">
        <f ca="1">'结果表-地下商业2'!I118</f>
        <v>16172</v>
      </c>
    </row>
    <row r="10" spans="2:10" ht="12.6" thickTop="1">
      <c r="C10" s="3484">
        <f>SUM(C6:C9)</f>
        <v>99232.33</v>
      </c>
      <c r="D10" s="3484">
        <f t="shared" ref="D10:I10" si="0">SUM(D6:D9)</f>
        <v>12540.52</v>
      </c>
      <c r="E10" s="3484">
        <f t="shared" ca="1" si="0"/>
        <v>110956</v>
      </c>
      <c r="G10" s="3484">
        <f t="shared" ca="1" si="0"/>
        <v>71733</v>
      </c>
      <c r="I10" s="3484">
        <f t="shared" ca="1" si="0"/>
        <v>182689</v>
      </c>
    </row>
  </sheetData>
  <mergeCells count="6">
    <mergeCell ref="I4:J4"/>
    <mergeCell ref="B4:B5"/>
    <mergeCell ref="C4:C5"/>
    <mergeCell ref="D4:D5"/>
    <mergeCell ref="E4:F4"/>
    <mergeCell ref="G4:H4"/>
  </mergeCells>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53"/>
  <sheetViews>
    <sheetView topLeftCell="A127" workbookViewId="0">
      <selection activeCell="I119" sqref="I119"/>
    </sheetView>
  </sheetViews>
  <sheetFormatPr defaultColWidth="11" defaultRowHeight="15.6"/>
  <cols>
    <col min="1" max="1" width="5.77734375" style="3589" customWidth="1"/>
    <col min="2" max="2" width="21.77734375" style="3590" customWidth="1"/>
    <col min="3" max="3" width="13.77734375" style="3490" customWidth="1"/>
    <col min="4" max="4" width="11.6640625" style="3490" customWidth="1"/>
    <col min="5" max="5" width="11" style="3490"/>
    <col min="6" max="6" width="10.109375" style="3490" customWidth="1"/>
    <col min="7" max="7" width="19.6640625" style="3490" customWidth="1"/>
    <col min="8" max="8" width="16.109375" style="3490" customWidth="1"/>
    <col min="9" max="9" width="16.21875" style="3490" bestFit="1" customWidth="1"/>
    <col min="10" max="10" width="11" style="3490"/>
    <col min="11" max="11" width="11.6640625" style="3591" bestFit="1" customWidth="1"/>
    <col min="12" max="12" width="11.6640625" style="3592" bestFit="1" customWidth="1"/>
    <col min="13" max="14" width="11" style="3589"/>
    <col min="15" max="15" width="11.77734375" style="3589" bestFit="1" customWidth="1"/>
    <col min="16" max="16" width="11.77734375" style="3591" bestFit="1" customWidth="1"/>
    <col min="17" max="17" width="13.33203125" style="3593" customWidth="1"/>
    <col min="18" max="18" width="13.33203125" style="3589" customWidth="1"/>
    <col min="19" max="19" width="16.109375" style="3589" customWidth="1"/>
    <col min="20" max="21" width="13.88671875" style="3490" bestFit="1" customWidth="1"/>
    <col min="22" max="22" width="16.109375" style="3490" bestFit="1" customWidth="1"/>
    <col min="23" max="25" width="11" style="3490"/>
    <col min="26" max="26" width="11.6640625" style="3490" bestFit="1" customWidth="1"/>
    <col min="27" max="30" width="11" style="3490"/>
    <col min="31" max="35" width="16.109375" style="3490" bestFit="1" customWidth="1"/>
    <col min="36" max="37" width="13.88671875" style="3490" bestFit="1" customWidth="1"/>
    <col min="38" max="16384" width="11" style="3490"/>
  </cols>
  <sheetData>
    <row r="1" spans="1:21" ht="22.2" customHeight="1">
      <c r="A1" s="3939" t="s">
        <v>3458</v>
      </c>
      <c r="B1" s="3940"/>
      <c r="C1" s="3940"/>
      <c r="D1" s="3940"/>
      <c r="E1" s="3940"/>
      <c r="F1" s="3940"/>
      <c r="G1" s="3940"/>
      <c r="H1" s="3940"/>
      <c r="I1" s="3940"/>
      <c r="J1" s="3940"/>
      <c r="K1" s="3940"/>
      <c r="L1" s="3941"/>
      <c r="M1" s="3941"/>
      <c r="N1" s="3941"/>
      <c r="O1" s="3941"/>
      <c r="P1" s="3941"/>
      <c r="Q1" s="3941"/>
      <c r="R1" s="3941"/>
      <c r="S1" s="3942"/>
    </row>
    <row r="2" spans="1:21" ht="25.2" customHeight="1">
      <c r="A2" s="3491" t="s">
        <v>3459</v>
      </c>
      <c r="B2" s="3491" t="s">
        <v>3460</v>
      </c>
      <c r="C2" s="3491" t="s">
        <v>3461</v>
      </c>
      <c r="D2" s="3491" t="s">
        <v>3462</v>
      </c>
      <c r="E2" s="3491" t="s">
        <v>3463</v>
      </c>
      <c r="F2" s="3491" t="s">
        <v>3464</v>
      </c>
      <c r="G2" s="3491" t="s">
        <v>3465</v>
      </c>
      <c r="H2" s="3491" t="s">
        <v>3466</v>
      </c>
      <c r="I2" s="3491" t="s">
        <v>3467</v>
      </c>
      <c r="J2" s="3491" t="s">
        <v>3468</v>
      </c>
      <c r="K2" s="3492" t="s">
        <v>3469</v>
      </c>
      <c r="L2" s="3492" t="s">
        <v>3470</v>
      </c>
      <c r="M2" s="3493" t="s">
        <v>3471</v>
      </c>
      <c r="N2" s="3491" t="s">
        <v>3472</v>
      </c>
      <c r="O2" s="3491" t="s">
        <v>3473</v>
      </c>
      <c r="P2" s="3492" t="s">
        <v>3474</v>
      </c>
      <c r="Q2" s="3494"/>
      <c r="R2" s="3491" t="s">
        <v>3475</v>
      </c>
      <c r="S2" s="3491" t="s">
        <v>3476</v>
      </c>
      <c r="T2" s="3495" t="s">
        <v>3477</v>
      </c>
      <c r="U2" s="3495" t="s">
        <v>3478</v>
      </c>
    </row>
    <row r="3" spans="1:21" ht="18.75" customHeight="1">
      <c r="A3" s="3491">
        <v>1</v>
      </c>
      <c r="B3" s="3494" t="s">
        <v>3479</v>
      </c>
      <c r="C3" s="3496" t="s">
        <v>3480</v>
      </c>
      <c r="D3" s="3497">
        <v>10267</v>
      </c>
      <c r="E3" s="3498">
        <v>1.40999999199457</v>
      </c>
      <c r="F3" s="3498">
        <v>0.49000000266847799</v>
      </c>
      <c r="G3" s="3498">
        <v>5283911.5199999996</v>
      </c>
      <c r="H3" s="3498">
        <v>1836252.96</v>
      </c>
      <c r="I3" s="3498">
        <v>7120164.4800000004</v>
      </c>
      <c r="J3" s="3499">
        <f t="shared" ref="J3:J63" si="0">F3+E3</f>
        <v>1.8999999946630481</v>
      </c>
      <c r="K3" s="3500">
        <v>42917</v>
      </c>
      <c r="L3" s="3501">
        <v>43738</v>
      </c>
      <c r="M3" s="3502" t="s">
        <v>3481</v>
      </c>
      <c r="N3" s="3503" t="s">
        <v>3482</v>
      </c>
      <c r="O3" s="3500" t="s">
        <v>3483</v>
      </c>
      <c r="P3" s="3492">
        <v>44194</v>
      </c>
      <c r="Q3" s="3504" t="s">
        <v>3484</v>
      </c>
      <c r="R3" s="3505">
        <v>0.02</v>
      </c>
      <c r="S3" s="3506" t="s">
        <v>3485</v>
      </c>
      <c r="T3" s="3495" t="s">
        <v>3486</v>
      </c>
      <c r="U3" s="3495" t="s">
        <v>3486</v>
      </c>
    </row>
    <row r="4" spans="1:21" ht="18.75" customHeight="1">
      <c r="A4" s="3491">
        <v>2</v>
      </c>
      <c r="B4" s="3494" t="s">
        <v>3479</v>
      </c>
      <c r="C4" s="3496" t="s">
        <v>3487</v>
      </c>
      <c r="D4" s="3497"/>
      <c r="E4" s="3498">
        <v>39.450000000000003</v>
      </c>
      <c r="F4" s="3498"/>
      <c r="G4" s="3498">
        <v>144000</v>
      </c>
      <c r="H4" s="3498"/>
      <c r="I4" s="3498">
        <v>144000</v>
      </c>
      <c r="J4" s="3499">
        <v>39.450000000000003</v>
      </c>
      <c r="K4" s="3500">
        <v>42917</v>
      </c>
      <c r="L4" s="3501">
        <v>43738</v>
      </c>
      <c r="M4" s="3502" t="s">
        <v>3481</v>
      </c>
      <c r="N4" s="3503" t="s">
        <v>3482</v>
      </c>
      <c r="O4" s="3500" t="s">
        <v>3483</v>
      </c>
      <c r="P4" s="3492">
        <v>44164</v>
      </c>
      <c r="Q4" s="3504" t="s">
        <v>3488</v>
      </c>
      <c r="R4" s="3505" t="s">
        <v>3489</v>
      </c>
      <c r="S4" s="3506" t="s">
        <v>3485</v>
      </c>
      <c r="T4" s="3495" t="s">
        <v>3486</v>
      </c>
      <c r="U4" s="3495" t="s">
        <v>3486</v>
      </c>
    </row>
    <row r="5" spans="1:21" ht="18.75" customHeight="1">
      <c r="A5" s="3491">
        <v>3</v>
      </c>
      <c r="B5" s="3494" t="s">
        <v>3479</v>
      </c>
      <c r="C5" s="3496" t="s">
        <v>3490</v>
      </c>
      <c r="D5" s="3497">
        <v>26</v>
      </c>
      <c r="E5" s="3498">
        <v>6</v>
      </c>
      <c r="F5" s="3498"/>
      <c r="G5" s="3498">
        <v>56940</v>
      </c>
      <c r="H5" s="3498"/>
      <c r="I5" s="3498">
        <v>56940</v>
      </c>
      <c r="J5" s="3499">
        <v>26</v>
      </c>
      <c r="K5" s="3500">
        <v>42917</v>
      </c>
      <c r="L5" s="3501">
        <v>43738</v>
      </c>
      <c r="M5" s="3502" t="s">
        <v>3481</v>
      </c>
      <c r="N5" s="3503" t="s">
        <v>3482</v>
      </c>
      <c r="O5" s="3500" t="s">
        <v>3483</v>
      </c>
      <c r="P5" s="3492">
        <v>43936</v>
      </c>
      <c r="Q5" s="3504" t="s">
        <v>3491</v>
      </c>
      <c r="R5" s="3505">
        <v>0.04</v>
      </c>
      <c r="S5" s="3506" t="s">
        <v>3485</v>
      </c>
      <c r="T5" s="3495" t="s">
        <v>3486</v>
      </c>
      <c r="U5" s="3495" t="s">
        <v>3486</v>
      </c>
    </row>
    <row r="6" spans="1:21" ht="18.75" customHeight="1">
      <c r="A6" s="3491">
        <v>4</v>
      </c>
      <c r="B6" s="3494" t="s">
        <v>3492</v>
      </c>
      <c r="C6" s="3496" t="s">
        <v>3493</v>
      </c>
      <c r="D6" s="3497">
        <v>598</v>
      </c>
      <c r="E6" s="3498">
        <v>6.9994520547945198</v>
      </c>
      <c r="F6" s="3498">
        <v>0.98630136986301398</v>
      </c>
      <c r="G6" s="3498">
        <v>1527770.4</v>
      </c>
      <c r="H6" s="3498">
        <v>215280</v>
      </c>
      <c r="I6" s="3498">
        <v>1743050.4</v>
      </c>
      <c r="J6" s="3499">
        <f t="shared" si="0"/>
        <v>7.9857534246575339</v>
      </c>
      <c r="K6" s="3500">
        <v>42977</v>
      </c>
      <c r="L6" s="3507">
        <v>43555</v>
      </c>
      <c r="M6" s="3502" t="s">
        <v>3494</v>
      </c>
      <c r="N6" s="3503" t="s">
        <v>3495</v>
      </c>
      <c r="O6" s="3500" t="s">
        <v>3496</v>
      </c>
      <c r="P6" s="3492">
        <v>43678</v>
      </c>
      <c r="Q6" s="3504" t="s">
        <v>3497</v>
      </c>
      <c r="R6" s="3505">
        <v>0.05</v>
      </c>
      <c r="S6" s="3506" t="s">
        <v>3485</v>
      </c>
      <c r="T6" s="3495" t="s">
        <v>3486</v>
      </c>
      <c r="U6" s="3495" t="s">
        <v>3486</v>
      </c>
    </row>
    <row r="7" spans="1:21" s="3523" customFormat="1" ht="18.75" customHeight="1">
      <c r="A7" s="3508">
        <v>5</v>
      </c>
      <c r="B7" s="3509" t="s">
        <v>3498</v>
      </c>
      <c r="C7" s="3510" t="s">
        <v>3499</v>
      </c>
      <c r="D7" s="3511">
        <v>110</v>
      </c>
      <c r="E7" s="3512">
        <v>12.0328767123288</v>
      </c>
      <c r="F7" s="3512">
        <v>2.4657534246575299</v>
      </c>
      <c r="G7" s="3512">
        <v>724680</v>
      </c>
      <c r="H7" s="3512">
        <v>99000</v>
      </c>
      <c r="I7" s="3512">
        <v>823680</v>
      </c>
      <c r="J7" s="3513">
        <f t="shared" si="0"/>
        <v>14.49863013698633</v>
      </c>
      <c r="K7" s="3514">
        <v>43586</v>
      </c>
      <c r="L7" s="3515">
        <v>43830</v>
      </c>
      <c r="M7" s="3516" t="s">
        <v>3500</v>
      </c>
      <c r="N7" s="3517" t="s">
        <v>3501</v>
      </c>
      <c r="O7" s="3514" t="s">
        <v>3502</v>
      </c>
      <c r="P7" s="3518">
        <v>43862</v>
      </c>
      <c r="Q7" s="3519" t="s">
        <v>3503</v>
      </c>
      <c r="R7" s="3520">
        <v>0.04</v>
      </c>
      <c r="S7" s="3521" t="s">
        <v>3485</v>
      </c>
      <c r="T7" s="3522" t="s">
        <v>3486</v>
      </c>
      <c r="U7" s="3522" t="s">
        <v>3486</v>
      </c>
    </row>
    <row r="8" spans="1:21" ht="18.75" customHeight="1">
      <c r="A8" s="3491">
        <v>6</v>
      </c>
      <c r="B8" s="3494" t="s">
        <v>3504</v>
      </c>
      <c r="C8" s="3524" t="s">
        <v>3505</v>
      </c>
      <c r="D8" s="3497">
        <v>103</v>
      </c>
      <c r="E8" s="3498">
        <v>10.5001196967682</v>
      </c>
      <c r="F8" s="3498">
        <v>3.0016757547546198</v>
      </c>
      <c r="G8" s="3498">
        <v>394752</v>
      </c>
      <c r="H8" s="3498">
        <v>112848</v>
      </c>
      <c r="I8" s="3498">
        <v>507600</v>
      </c>
      <c r="J8" s="3499">
        <f t="shared" si="0"/>
        <v>13.50179545152282</v>
      </c>
      <c r="K8" s="3500">
        <v>43564</v>
      </c>
      <c r="L8" s="3525">
        <v>43830</v>
      </c>
      <c r="M8" s="3526" t="s">
        <v>3500</v>
      </c>
      <c r="N8" s="3503" t="s">
        <v>3506</v>
      </c>
      <c r="O8" s="3500" t="s">
        <v>3496</v>
      </c>
      <c r="P8" s="3492">
        <v>43678</v>
      </c>
      <c r="Q8" s="3504" t="s">
        <v>3497</v>
      </c>
      <c r="R8" s="3505">
        <v>0.05</v>
      </c>
      <c r="S8" s="3527" t="s">
        <v>3485</v>
      </c>
      <c r="T8" s="3495" t="s">
        <v>3486</v>
      </c>
      <c r="U8" s="3495" t="s">
        <v>3486</v>
      </c>
    </row>
    <row r="9" spans="1:21" s="3523" customFormat="1" ht="18.75" customHeight="1">
      <c r="A9" s="3508">
        <v>7</v>
      </c>
      <c r="B9" s="3528" t="s">
        <v>3507</v>
      </c>
      <c r="C9" s="3529" t="s">
        <v>3508</v>
      </c>
      <c r="D9" s="3530">
        <v>298</v>
      </c>
      <c r="E9" s="3512">
        <v>12</v>
      </c>
      <c r="F9" s="3512">
        <v>3.0016438356164401</v>
      </c>
      <c r="G9" s="3512">
        <v>1957860</v>
      </c>
      <c r="H9" s="3512">
        <v>326488.8</v>
      </c>
      <c r="I9" s="3512">
        <v>2284348.7999999998</v>
      </c>
      <c r="J9" s="3513">
        <f t="shared" si="0"/>
        <v>15.00164383561644</v>
      </c>
      <c r="K9" s="3518">
        <v>43709</v>
      </c>
      <c r="L9" s="3515">
        <v>43830</v>
      </c>
      <c r="M9" s="3516" t="s">
        <v>3500</v>
      </c>
      <c r="N9" s="3517" t="s">
        <v>3506</v>
      </c>
      <c r="O9" s="3514" t="s">
        <v>3509</v>
      </c>
      <c r="P9" s="3518">
        <v>43891</v>
      </c>
      <c r="Q9" s="3519" t="s">
        <v>3503</v>
      </c>
      <c r="R9" s="3520">
        <v>0.04</v>
      </c>
      <c r="S9" s="3531" t="s">
        <v>3485</v>
      </c>
      <c r="T9" s="3522" t="s">
        <v>3486</v>
      </c>
      <c r="U9" s="3522" t="s">
        <v>3486</v>
      </c>
    </row>
    <row r="10" spans="1:21" ht="18.75" customHeight="1">
      <c r="A10" s="3491">
        <v>8</v>
      </c>
      <c r="B10" s="3494" t="s">
        <v>3510</v>
      </c>
      <c r="C10" s="3496" t="s">
        <v>3511</v>
      </c>
      <c r="D10" s="3497">
        <v>2100</v>
      </c>
      <c r="E10" s="3498">
        <v>1.5655577299412899</v>
      </c>
      <c r="F10" s="3498">
        <v>0</v>
      </c>
      <c r="G10" s="3498">
        <v>3600000</v>
      </c>
      <c r="H10" s="3498"/>
      <c r="I10" s="3498">
        <v>3600000</v>
      </c>
      <c r="J10" s="3499">
        <f t="shared" si="0"/>
        <v>1.5655577299412899</v>
      </c>
      <c r="K10" s="3500"/>
      <c r="L10" s="3525">
        <v>43830</v>
      </c>
      <c r="M10" s="3526" t="s">
        <v>3500</v>
      </c>
      <c r="N10" s="3503" t="s">
        <v>3512</v>
      </c>
      <c r="O10" s="3532" t="s">
        <v>3513</v>
      </c>
      <c r="P10" s="3492">
        <v>44166</v>
      </c>
      <c r="Q10" s="3504" t="s">
        <v>3514</v>
      </c>
      <c r="R10" s="3505">
        <v>0.03</v>
      </c>
      <c r="S10" s="3506" t="s">
        <v>3515</v>
      </c>
      <c r="T10" s="3495" t="s">
        <v>3486</v>
      </c>
      <c r="U10" s="3495" t="s">
        <v>3486</v>
      </c>
    </row>
    <row r="11" spans="1:21" ht="18.75" customHeight="1">
      <c r="A11" s="3491">
        <v>9</v>
      </c>
      <c r="B11" s="3494" t="s">
        <v>3516</v>
      </c>
      <c r="C11" s="3496" t="s">
        <v>3517</v>
      </c>
      <c r="D11" s="3497">
        <v>44</v>
      </c>
      <c r="E11" s="3498">
        <v>17.7534246575342</v>
      </c>
      <c r="F11" s="3498">
        <v>2.4657534246575299</v>
      </c>
      <c r="G11" s="3498">
        <v>427680</v>
      </c>
      <c r="H11" s="3498">
        <v>39600</v>
      </c>
      <c r="I11" s="3498">
        <v>467280</v>
      </c>
      <c r="J11" s="3499">
        <f t="shared" si="0"/>
        <v>20.219178082191732</v>
      </c>
      <c r="K11" s="3492"/>
      <c r="L11" s="3525">
        <v>43830</v>
      </c>
      <c r="M11" s="3526" t="s">
        <v>3500</v>
      </c>
      <c r="N11" s="3503" t="s">
        <v>3506</v>
      </c>
      <c r="O11" s="3532" t="s">
        <v>3502</v>
      </c>
      <c r="P11" s="3492">
        <v>43862</v>
      </c>
      <c r="Q11" s="3504" t="s">
        <v>3518</v>
      </c>
      <c r="R11" s="3505">
        <v>0.05</v>
      </c>
      <c r="S11" s="3506" t="s">
        <v>3515</v>
      </c>
      <c r="T11" s="3495" t="s">
        <v>3486</v>
      </c>
      <c r="U11" s="3495" t="s">
        <v>3486</v>
      </c>
    </row>
    <row r="12" spans="1:21" ht="18.75" customHeight="1">
      <c r="A12" s="3491">
        <v>10</v>
      </c>
      <c r="B12" s="3494" t="s">
        <v>3519</v>
      </c>
      <c r="C12" s="3533" t="s">
        <v>3520</v>
      </c>
      <c r="D12" s="3497">
        <v>141</v>
      </c>
      <c r="E12" s="3498">
        <v>9.8630136986301409</v>
      </c>
      <c r="F12" s="3498">
        <v>3.0016438356164401</v>
      </c>
      <c r="G12" s="3498">
        <v>761400</v>
      </c>
      <c r="H12" s="3498">
        <v>154479.6</v>
      </c>
      <c r="I12" s="3498">
        <v>915879.6</v>
      </c>
      <c r="J12" s="3499">
        <f t="shared" si="0"/>
        <v>12.864657534246581</v>
      </c>
      <c r="K12" s="3492"/>
      <c r="L12" s="3525">
        <v>43830</v>
      </c>
      <c r="M12" s="3526" t="s">
        <v>3500</v>
      </c>
      <c r="N12" s="3503" t="s">
        <v>3506</v>
      </c>
      <c r="O12" s="3532" t="s">
        <v>3502</v>
      </c>
      <c r="P12" s="3492">
        <v>43862</v>
      </c>
      <c r="Q12" s="3504" t="s">
        <v>3521</v>
      </c>
      <c r="R12" s="3505">
        <v>0.08</v>
      </c>
      <c r="S12" s="3491" t="s">
        <v>3515</v>
      </c>
      <c r="T12" s="3495" t="s">
        <v>3522</v>
      </c>
      <c r="U12" s="3495" t="s">
        <v>3522</v>
      </c>
    </row>
    <row r="13" spans="1:21" ht="24">
      <c r="A13" s="3491">
        <v>11</v>
      </c>
      <c r="B13" s="3494" t="s">
        <v>3523</v>
      </c>
      <c r="C13" s="3524" t="s">
        <v>3524</v>
      </c>
      <c r="D13" s="3497">
        <v>47</v>
      </c>
      <c r="E13" s="3498">
        <v>15</v>
      </c>
      <c r="F13" s="3498">
        <v>3.0016438356164401</v>
      </c>
      <c r="G13" s="3498">
        <v>385987.5</v>
      </c>
      <c r="H13" s="3498">
        <v>51493.2</v>
      </c>
      <c r="I13" s="3498">
        <v>437480.7</v>
      </c>
      <c r="J13" s="3499">
        <f t="shared" si="0"/>
        <v>18.001643835616441</v>
      </c>
      <c r="K13" s="3500"/>
      <c r="L13" s="3525">
        <v>43830</v>
      </c>
      <c r="M13" s="3526" t="s">
        <v>3500</v>
      </c>
      <c r="N13" s="3503" t="s">
        <v>3506</v>
      </c>
      <c r="O13" s="3500" t="s">
        <v>3525</v>
      </c>
      <c r="P13" s="3492">
        <v>43831</v>
      </c>
      <c r="Q13" s="3504" t="s">
        <v>3497</v>
      </c>
      <c r="R13" s="3505">
        <v>0.05</v>
      </c>
      <c r="S13" s="3527" t="s">
        <v>3515</v>
      </c>
      <c r="T13" s="3495" t="s">
        <v>3522</v>
      </c>
      <c r="U13" s="3495" t="s">
        <v>3522</v>
      </c>
    </row>
    <row r="14" spans="1:21" ht="24">
      <c r="A14" s="3491">
        <v>12</v>
      </c>
      <c r="B14" s="3494" t="s">
        <v>3526</v>
      </c>
      <c r="C14" s="3524" t="s">
        <v>3527</v>
      </c>
      <c r="D14" s="3497">
        <v>42</v>
      </c>
      <c r="E14" s="3498">
        <v>15.057534246575299</v>
      </c>
      <c r="F14" s="3498">
        <v>3.0016438356164401</v>
      </c>
      <c r="G14" s="3498">
        <v>346248</v>
      </c>
      <c r="H14" s="3498">
        <v>46015.199999999997</v>
      </c>
      <c r="I14" s="3498">
        <v>392263.2</v>
      </c>
      <c r="J14" s="3499">
        <f t="shared" si="0"/>
        <v>18.059178082191739</v>
      </c>
      <c r="K14" s="3500"/>
      <c r="L14" s="3525">
        <v>43830</v>
      </c>
      <c r="M14" s="3526" t="s">
        <v>3500</v>
      </c>
      <c r="N14" s="3503" t="s">
        <v>3506</v>
      </c>
      <c r="O14" s="3500" t="s">
        <v>3525</v>
      </c>
      <c r="P14" s="3492">
        <v>43831</v>
      </c>
      <c r="Q14" s="3504" t="s">
        <v>3521</v>
      </c>
      <c r="R14" s="3505">
        <v>0.08</v>
      </c>
      <c r="S14" s="3527" t="s">
        <v>3515</v>
      </c>
      <c r="T14" s="3495" t="s">
        <v>3522</v>
      </c>
      <c r="U14" s="3495" t="s">
        <v>3522</v>
      </c>
    </row>
    <row r="15" spans="1:21" ht="24">
      <c r="A15" s="3491">
        <v>13</v>
      </c>
      <c r="B15" s="3494" t="s">
        <v>3528</v>
      </c>
      <c r="C15" s="3524" t="s">
        <v>3529</v>
      </c>
      <c r="D15" s="3497">
        <v>260</v>
      </c>
      <c r="E15" s="3498">
        <v>4.5041095890411</v>
      </c>
      <c r="F15" s="3498">
        <v>3.0016438356164401</v>
      </c>
      <c r="G15" s="3498">
        <v>641160</v>
      </c>
      <c r="H15" s="3498">
        <v>284856</v>
      </c>
      <c r="I15" s="3498">
        <v>926016</v>
      </c>
      <c r="J15" s="3499">
        <f t="shared" si="0"/>
        <v>7.5057534246575397</v>
      </c>
      <c r="K15" s="3500"/>
      <c r="L15" s="3525">
        <v>43830</v>
      </c>
      <c r="M15" s="3502" t="s">
        <v>3530</v>
      </c>
      <c r="N15" s="3503" t="s">
        <v>3501</v>
      </c>
      <c r="O15" s="3532" t="s">
        <v>3502</v>
      </c>
      <c r="P15" s="3492">
        <v>43862</v>
      </c>
      <c r="Q15" s="3504" t="s">
        <v>3531</v>
      </c>
      <c r="R15" s="3505">
        <v>7.0000000000000007E-2</v>
      </c>
      <c r="S15" s="3527" t="s">
        <v>3515</v>
      </c>
      <c r="T15" s="3495" t="s">
        <v>3522</v>
      </c>
      <c r="U15" s="3495" t="s">
        <v>3522</v>
      </c>
    </row>
    <row r="16" spans="1:21" s="3539" customFormat="1" ht="30" customHeight="1">
      <c r="A16" s="3491">
        <v>14</v>
      </c>
      <c r="B16" s="3494" t="s">
        <v>3532</v>
      </c>
      <c r="C16" s="3504" t="s">
        <v>3533</v>
      </c>
      <c r="D16" s="3534">
        <v>214.8</v>
      </c>
      <c r="E16" s="3498"/>
      <c r="F16" s="3535"/>
      <c r="G16" s="3498"/>
      <c r="H16" s="3498"/>
      <c r="I16" s="3536">
        <f t="shared" ref="I16:I79" si="1">G16+H16</f>
        <v>0</v>
      </c>
      <c r="J16" s="3499">
        <f t="shared" si="0"/>
        <v>0</v>
      </c>
      <c r="K16" s="3500">
        <v>44257</v>
      </c>
      <c r="L16" s="3507">
        <v>44323</v>
      </c>
      <c r="M16" s="3502" t="s">
        <v>3534</v>
      </c>
      <c r="N16" s="3537" t="s">
        <v>3535</v>
      </c>
      <c r="O16" s="3538" t="s">
        <v>3536</v>
      </c>
      <c r="P16" s="3500">
        <v>44682</v>
      </c>
      <c r="Q16" s="3494" t="s">
        <v>3537</v>
      </c>
      <c r="R16" s="3491"/>
      <c r="S16" s="3491" t="s">
        <v>3538</v>
      </c>
      <c r="T16" s="3495" t="s">
        <v>3539</v>
      </c>
      <c r="U16" s="3495" t="s">
        <v>3540</v>
      </c>
    </row>
    <row r="17" spans="1:21" s="3539" customFormat="1" ht="30" customHeight="1">
      <c r="A17" s="3491">
        <v>15</v>
      </c>
      <c r="B17" s="3494" t="s">
        <v>3541</v>
      </c>
      <c r="C17" s="3494" t="s">
        <v>3542</v>
      </c>
      <c r="D17" s="3534">
        <v>56</v>
      </c>
      <c r="E17" s="3498">
        <v>12</v>
      </c>
      <c r="F17" s="3535">
        <v>3</v>
      </c>
      <c r="G17" s="3498">
        <v>245280</v>
      </c>
      <c r="H17" s="3498">
        <v>61320</v>
      </c>
      <c r="I17" s="3536">
        <f t="shared" si="1"/>
        <v>306600</v>
      </c>
      <c r="J17" s="3499">
        <f t="shared" si="0"/>
        <v>15</v>
      </c>
      <c r="K17" s="3492">
        <v>44270</v>
      </c>
      <c r="L17" s="3507">
        <v>44317</v>
      </c>
      <c r="M17" s="3502" t="s">
        <v>3481</v>
      </c>
      <c r="N17" s="3537" t="s">
        <v>3543</v>
      </c>
      <c r="O17" s="3538" t="s">
        <v>3536</v>
      </c>
      <c r="P17" s="3492">
        <v>44470</v>
      </c>
      <c r="Q17" s="3494" t="s">
        <v>3544</v>
      </c>
      <c r="R17" s="3491" t="s">
        <v>3545</v>
      </c>
      <c r="S17" s="3491" t="s">
        <v>3538</v>
      </c>
      <c r="T17" s="3495" t="s">
        <v>3539</v>
      </c>
      <c r="U17" s="3495" t="s">
        <v>3539</v>
      </c>
    </row>
    <row r="18" spans="1:21" s="3539" customFormat="1" ht="30" customHeight="1">
      <c r="A18" s="3491">
        <v>16</v>
      </c>
      <c r="B18" s="3540" t="s">
        <v>3546</v>
      </c>
      <c r="C18" s="3540" t="s">
        <v>3547</v>
      </c>
      <c r="D18" s="3534">
        <v>338</v>
      </c>
      <c r="E18" s="3498">
        <v>5.5</v>
      </c>
      <c r="F18" s="3535">
        <v>3</v>
      </c>
      <c r="G18" s="3541">
        <v>678535</v>
      </c>
      <c r="H18" s="3541">
        <v>370110</v>
      </c>
      <c r="I18" s="3536">
        <f t="shared" si="1"/>
        <v>1048645</v>
      </c>
      <c r="J18" s="3499">
        <f t="shared" si="0"/>
        <v>8.5</v>
      </c>
      <c r="K18" s="3492">
        <v>44266</v>
      </c>
      <c r="L18" s="3507">
        <v>44287</v>
      </c>
      <c r="M18" s="3502" t="s">
        <v>3481</v>
      </c>
      <c r="N18" s="3537" t="s">
        <v>3548</v>
      </c>
      <c r="O18" s="3538" t="s">
        <v>3549</v>
      </c>
      <c r="P18" s="3492">
        <v>44440</v>
      </c>
      <c r="Q18" s="3504" t="s">
        <v>3550</v>
      </c>
      <c r="R18" s="3542">
        <v>2.5000000000000001E-2</v>
      </c>
      <c r="S18" s="3491" t="s">
        <v>3538</v>
      </c>
      <c r="T18" s="3495" t="s">
        <v>3539</v>
      </c>
      <c r="U18" s="3495" t="s">
        <v>3540</v>
      </c>
    </row>
    <row r="19" spans="1:21" s="3539" customFormat="1" ht="30" customHeight="1">
      <c r="A19" s="3491">
        <v>17</v>
      </c>
      <c r="B19" s="3543" t="s">
        <v>3551</v>
      </c>
      <c r="C19" s="3540" t="s">
        <v>3552</v>
      </c>
      <c r="D19" s="3544">
        <v>827</v>
      </c>
      <c r="E19" s="3498"/>
      <c r="F19" s="3541">
        <v>4.5</v>
      </c>
      <c r="G19" s="3541"/>
      <c r="H19" s="3541">
        <v>1358347.5</v>
      </c>
      <c r="I19" s="3536">
        <f t="shared" si="1"/>
        <v>1358347.5</v>
      </c>
      <c r="J19" s="3499">
        <f t="shared" si="0"/>
        <v>4.5</v>
      </c>
      <c r="K19" s="3545">
        <v>44282</v>
      </c>
      <c r="L19" s="3546">
        <v>44323</v>
      </c>
      <c r="M19" s="3547" t="s">
        <v>3553</v>
      </c>
      <c r="N19" s="3537" t="s">
        <v>3548</v>
      </c>
      <c r="O19" s="3538" t="s">
        <v>3554</v>
      </c>
      <c r="P19" s="3546">
        <v>44501</v>
      </c>
      <c r="Q19" s="3504" t="s">
        <v>3550</v>
      </c>
      <c r="R19" s="3542">
        <v>2.5000000000000001E-2</v>
      </c>
      <c r="S19" s="3491" t="s">
        <v>3538</v>
      </c>
      <c r="T19" s="3495" t="s">
        <v>3540</v>
      </c>
      <c r="U19" s="3495" t="s">
        <v>3540</v>
      </c>
    </row>
    <row r="20" spans="1:21" s="3539" customFormat="1" ht="30" customHeight="1">
      <c r="A20" s="3491">
        <v>18</v>
      </c>
      <c r="B20" s="3548" t="s">
        <v>3555</v>
      </c>
      <c r="C20" s="3540" t="s">
        <v>3556</v>
      </c>
      <c r="D20" s="3544">
        <v>133</v>
      </c>
      <c r="E20" s="3498"/>
      <c r="F20" s="3541">
        <v>4.5</v>
      </c>
      <c r="G20" s="3541"/>
      <c r="H20" s="3541">
        <v>218452.5</v>
      </c>
      <c r="I20" s="3536">
        <f t="shared" si="1"/>
        <v>218452.5</v>
      </c>
      <c r="J20" s="3499">
        <f t="shared" si="0"/>
        <v>4.5</v>
      </c>
      <c r="K20" s="3545">
        <v>44282</v>
      </c>
      <c r="L20" s="3546">
        <v>44313</v>
      </c>
      <c r="M20" s="3547" t="s">
        <v>3553</v>
      </c>
      <c r="N20" s="3537" t="s">
        <v>3557</v>
      </c>
      <c r="O20" s="3538" t="s">
        <v>3536</v>
      </c>
      <c r="P20" s="3546">
        <v>44470</v>
      </c>
      <c r="Q20" s="3494" t="s">
        <v>3544</v>
      </c>
      <c r="R20" s="3491" t="s">
        <v>3545</v>
      </c>
      <c r="S20" s="3491" t="s">
        <v>3538</v>
      </c>
      <c r="T20" s="3495" t="s">
        <v>3540</v>
      </c>
      <c r="U20" s="3495" t="s">
        <v>3540</v>
      </c>
    </row>
    <row r="21" spans="1:21" s="3539" customFormat="1" ht="30" customHeight="1">
      <c r="A21" s="3491">
        <v>19</v>
      </c>
      <c r="B21" s="3540" t="s">
        <v>3558</v>
      </c>
      <c r="C21" s="3540" t="s">
        <v>3559</v>
      </c>
      <c r="D21" s="3544">
        <v>530</v>
      </c>
      <c r="E21" s="3498"/>
      <c r="F21" s="3541">
        <v>4.34</v>
      </c>
      <c r="G21" s="3541"/>
      <c r="H21" s="3541">
        <v>840000</v>
      </c>
      <c r="I21" s="3536">
        <f t="shared" si="1"/>
        <v>840000</v>
      </c>
      <c r="J21" s="3499">
        <f t="shared" si="0"/>
        <v>4.34</v>
      </c>
      <c r="K21" s="3545">
        <v>44281</v>
      </c>
      <c r="L21" s="3546">
        <v>44303</v>
      </c>
      <c r="M21" s="3547" t="s">
        <v>3553</v>
      </c>
      <c r="N21" s="3503" t="s">
        <v>3506</v>
      </c>
      <c r="O21" s="3538" t="s">
        <v>3536</v>
      </c>
      <c r="P21" s="3546">
        <v>44470</v>
      </c>
      <c r="Q21" s="3494" t="s">
        <v>3544</v>
      </c>
      <c r="R21" s="3491" t="s">
        <v>3545</v>
      </c>
      <c r="S21" s="3491" t="s">
        <v>3538</v>
      </c>
      <c r="T21" s="3495" t="s">
        <v>3540</v>
      </c>
      <c r="U21" s="3495" t="s">
        <v>3540</v>
      </c>
    </row>
    <row r="22" spans="1:21" s="3539" customFormat="1" ht="30" customHeight="1">
      <c r="A22" s="3491">
        <v>20</v>
      </c>
      <c r="B22" s="3540" t="s">
        <v>3560</v>
      </c>
      <c r="C22" s="3540" t="s">
        <v>3561</v>
      </c>
      <c r="D22" s="3544">
        <v>509</v>
      </c>
      <c r="E22" s="3498"/>
      <c r="F22" s="3541">
        <v>4.3</v>
      </c>
      <c r="G22" s="3541"/>
      <c r="H22" s="3541">
        <v>798875.5</v>
      </c>
      <c r="I22" s="3536">
        <f t="shared" si="1"/>
        <v>798875.5</v>
      </c>
      <c r="J22" s="3499">
        <f t="shared" si="0"/>
        <v>4.3</v>
      </c>
      <c r="K22" s="3545">
        <v>44281</v>
      </c>
      <c r="L22" s="3546">
        <v>44315</v>
      </c>
      <c r="M22" s="3547" t="s">
        <v>3553</v>
      </c>
      <c r="N22" s="3503" t="s">
        <v>3506</v>
      </c>
      <c r="O22" s="3538" t="s">
        <v>3549</v>
      </c>
      <c r="P22" s="3549">
        <v>44470</v>
      </c>
      <c r="Q22" s="3504" t="s">
        <v>3562</v>
      </c>
      <c r="R22" s="3542">
        <v>1.6E-2</v>
      </c>
      <c r="S22" s="3491" t="s">
        <v>3538</v>
      </c>
      <c r="T22" s="3495" t="s">
        <v>3540</v>
      </c>
      <c r="U22" s="3495" t="s">
        <v>3540</v>
      </c>
    </row>
    <row r="23" spans="1:21" s="3539" customFormat="1" ht="30" customHeight="1">
      <c r="A23" s="3491">
        <v>21</v>
      </c>
      <c r="B23" s="3543" t="s">
        <v>3563</v>
      </c>
      <c r="C23" s="3540" t="s">
        <v>3564</v>
      </c>
      <c r="D23" s="3550">
        <v>290</v>
      </c>
      <c r="E23" s="3498"/>
      <c r="F23" s="3541">
        <v>4.5</v>
      </c>
      <c r="G23" s="3541"/>
      <c r="H23" s="3541">
        <v>476325</v>
      </c>
      <c r="I23" s="3536">
        <f t="shared" si="1"/>
        <v>476325</v>
      </c>
      <c r="J23" s="3499">
        <f t="shared" si="0"/>
        <v>4.5</v>
      </c>
      <c r="K23" s="3545">
        <v>44292</v>
      </c>
      <c r="L23" s="3546">
        <v>44393</v>
      </c>
      <c r="M23" s="3547" t="s">
        <v>3553</v>
      </c>
      <c r="N23" s="3503" t="s">
        <v>3506</v>
      </c>
      <c r="O23" s="3538" t="s">
        <v>3536</v>
      </c>
      <c r="P23" s="3546">
        <v>44378</v>
      </c>
      <c r="Q23" s="3504" t="s">
        <v>3562</v>
      </c>
      <c r="R23" s="3542">
        <v>1.6E-2</v>
      </c>
      <c r="S23" s="3491" t="s">
        <v>3538</v>
      </c>
      <c r="T23" s="3495" t="s">
        <v>3540</v>
      </c>
      <c r="U23" s="3495" t="s">
        <v>3540</v>
      </c>
    </row>
    <row r="24" spans="1:21" s="3539" customFormat="1" ht="30" customHeight="1">
      <c r="A24" s="3491">
        <v>22</v>
      </c>
      <c r="B24" s="3543" t="s">
        <v>3565</v>
      </c>
      <c r="C24" s="3551" t="s">
        <v>3566</v>
      </c>
      <c r="D24" s="3550">
        <f>255-9</f>
        <v>246</v>
      </c>
      <c r="E24" s="3498"/>
      <c r="F24" s="3541">
        <v>5</v>
      </c>
      <c r="G24" s="3541"/>
      <c r="H24" s="3541">
        <v>448950</v>
      </c>
      <c r="I24" s="3536">
        <f t="shared" si="1"/>
        <v>448950</v>
      </c>
      <c r="J24" s="3499">
        <f t="shared" si="0"/>
        <v>5</v>
      </c>
      <c r="K24" s="3545">
        <v>44292</v>
      </c>
      <c r="L24" s="3546">
        <v>44394</v>
      </c>
      <c r="M24" s="3547" t="s">
        <v>3567</v>
      </c>
      <c r="N24" s="3552" t="s">
        <v>3568</v>
      </c>
      <c r="O24" s="3538" t="s">
        <v>3569</v>
      </c>
      <c r="P24" s="3546">
        <v>44378</v>
      </c>
      <c r="Q24" s="3504" t="s">
        <v>3497</v>
      </c>
      <c r="R24" s="3542">
        <v>0.05</v>
      </c>
      <c r="S24" s="3491" t="s">
        <v>3570</v>
      </c>
      <c r="T24" s="3495" t="s">
        <v>3571</v>
      </c>
      <c r="U24" s="3495" t="s">
        <v>3571</v>
      </c>
    </row>
    <row r="25" spans="1:21" s="3539" customFormat="1" ht="30" customHeight="1">
      <c r="A25" s="3491">
        <v>23</v>
      </c>
      <c r="B25" s="3494" t="s">
        <v>3572</v>
      </c>
      <c r="C25" s="3504" t="s">
        <v>3573</v>
      </c>
      <c r="D25" s="3534">
        <v>73</v>
      </c>
      <c r="E25" s="3498">
        <v>17</v>
      </c>
      <c r="F25" s="3535">
        <v>3</v>
      </c>
      <c r="G25" s="3541">
        <v>452965</v>
      </c>
      <c r="H25" s="3541">
        <v>79935</v>
      </c>
      <c r="I25" s="3536">
        <f t="shared" si="1"/>
        <v>532900</v>
      </c>
      <c r="J25" s="3499">
        <f t="shared" si="0"/>
        <v>20</v>
      </c>
      <c r="K25" s="3492">
        <v>44293</v>
      </c>
      <c r="L25" s="3507">
        <v>44409</v>
      </c>
      <c r="M25" s="3502" t="s">
        <v>3534</v>
      </c>
      <c r="N25" s="3537" t="s">
        <v>3574</v>
      </c>
      <c r="O25" s="3538" t="s">
        <v>3575</v>
      </c>
      <c r="P25" s="3492">
        <v>44470</v>
      </c>
      <c r="Q25" s="3504" t="s">
        <v>3576</v>
      </c>
      <c r="R25" s="3505">
        <v>0.05</v>
      </c>
      <c r="S25" s="3491" t="s">
        <v>3570</v>
      </c>
      <c r="T25" s="3495" t="s">
        <v>3522</v>
      </c>
      <c r="U25" s="3495" t="s">
        <v>3522</v>
      </c>
    </row>
    <row r="26" spans="1:21" s="3539" customFormat="1" ht="30" customHeight="1">
      <c r="A26" s="3491">
        <v>24</v>
      </c>
      <c r="B26" s="3543" t="s">
        <v>3577</v>
      </c>
      <c r="C26" s="3540" t="s">
        <v>3578</v>
      </c>
      <c r="D26" s="3534">
        <v>26</v>
      </c>
      <c r="E26" s="3498"/>
      <c r="F26" s="3535">
        <v>7.59</v>
      </c>
      <c r="G26" s="3541"/>
      <c r="H26" s="3541">
        <v>72000</v>
      </c>
      <c r="I26" s="3536">
        <f t="shared" si="1"/>
        <v>72000</v>
      </c>
      <c r="J26" s="3499">
        <f t="shared" si="0"/>
        <v>7.59</v>
      </c>
      <c r="K26" s="3545">
        <v>44300</v>
      </c>
      <c r="L26" s="3507">
        <v>44409</v>
      </c>
      <c r="M26" s="3502" t="s">
        <v>3534</v>
      </c>
      <c r="N26" s="3537" t="s">
        <v>3574</v>
      </c>
      <c r="O26" s="3538" t="s">
        <v>3579</v>
      </c>
      <c r="P26" s="3492">
        <v>44470</v>
      </c>
      <c r="Q26" s="3494" t="s">
        <v>3580</v>
      </c>
      <c r="R26" s="3505">
        <v>0.17</v>
      </c>
      <c r="S26" s="3491" t="s">
        <v>3570</v>
      </c>
      <c r="T26" s="3495" t="s">
        <v>3571</v>
      </c>
      <c r="U26" s="3495" t="s">
        <v>3571</v>
      </c>
    </row>
    <row r="27" spans="1:21" s="3539" customFormat="1" ht="30" customHeight="1">
      <c r="A27" s="3491">
        <v>25</v>
      </c>
      <c r="B27" s="3543" t="s">
        <v>3581</v>
      </c>
      <c r="C27" s="3540" t="s">
        <v>3582</v>
      </c>
      <c r="D27" s="3534">
        <v>368</v>
      </c>
      <c r="E27" s="3498"/>
      <c r="F27" s="3535">
        <v>5</v>
      </c>
      <c r="G27" s="3541"/>
      <c r="H27" s="3541">
        <v>671600</v>
      </c>
      <c r="I27" s="3536">
        <f t="shared" si="1"/>
        <v>671600</v>
      </c>
      <c r="J27" s="3499">
        <f t="shared" si="0"/>
        <v>5</v>
      </c>
      <c r="K27" s="3492">
        <v>44309</v>
      </c>
      <c r="L27" s="3507">
        <v>44348</v>
      </c>
      <c r="M27" s="3502" t="s">
        <v>3481</v>
      </c>
      <c r="N27" s="3537" t="s">
        <v>3583</v>
      </c>
      <c r="O27" s="3538" t="s">
        <v>3569</v>
      </c>
      <c r="P27" s="3492">
        <v>44470</v>
      </c>
      <c r="Q27" s="3504" t="s">
        <v>3584</v>
      </c>
      <c r="R27" s="3505">
        <v>1.4999999999999999E-2</v>
      </c>
      <c r="S27" s="3491" t="s">
        <v>3570</v>
      </c>
      <c r="T27" s="3495" t="s">
        <v>3571</v>
      </c>
      <c r="U27" s="3495" t="s">
        <v>3571</v>
      </c>
    </row>
    <row r="28" spans="1:21" s="3539" customFormat="1" ht="30" customHeight="1">
      <c r="A28" s="3491">
        <v>26</v>
      </c>
      <c r="B28" s="3494" t="s">
        <v>3585</v>
      </c>
      <c r="C28" s="3504" t="s">
        <v>3586</v>
      </c>
      <c r="D28" s="3534">
        <v>174</v>
      </c>
      <c r="E28" s="3498">
        <v>14</v>
      </c>
      <c r="F28" s="3535">
        <v>3</v>
      </c>
      <c r="G28" s="3541">
        <v>889140</v>
      </c>
      <c r="H28" s="3541">
        <v>190530</v>
      </c>
      <c r="I28" s="3536">
        <f t="shared" si="1"/>
        <v>1079670</v>
      </c>
      <c r="J28" s="3499">
        <f t="shared" si="0"/>
        <v>17</v>
      </c>
      <c r="K28" s="3492">
        <v>44308</v>
      </c>
      <c r="L28" s="3507">
        <v>44378</v>
      </c>
      <c r="M28" s="3502" t="s">
        <v>3530</v>
      </c>
      <c r="N28" s="3537" t="s">
        <v>3543</v>
      </c>
      <c r="O28" s="3538" t="s">
        <v>3587</v>
      </c>
      <c r="P28" s="3532">
        <v>44470</v>
      </c>
      <c r="Q28" s="3504" t="s">
        <v>3588</v>
      </c>
      <c r="R28" s="3505">
        <v>0.06</v>
      </c>
      <c r="S28" s="3491" t="s">
        <v>3538</v>
      </c>
      <c r="T28" s="3495" t="s">
        <v>3539</v>
      </c>
      <c r="U28" s="3495" t="s">
        <v>3539</v>
      </c>
    </row>
    <row r="29" spans="1:21" s="3539" customFormat="1" ht="30" customHeight="1">
      <c r="A29" s="3491">
        <v>27</v>
      </c>
      <c r="B29" s="3496" t="s">
        <v>3589</v>
      </c>
      <c r="C29" s="3504" t="s">
        <v>3590</v>
      </c>
      <c r="D29" s="3534">
        <v>119</v>
      </c>
      <c r="E29" s="3498">
        <v>17</v>
      </c>
      <c r="F29" s="3535">
        <v>3</v>
      </c>
      <c r="G29" s="3498">
        <v>738395</v>
      </c>
      <c r="H29" s="3498">
        <v>130305</v>
      </c>
      <c r="I29" s="3536">
        <f t="shared" si="1"/>
        <v>868700</v>
      </c>
      <c r="J29" s="3499">
        <f t="shared" si="0"/>
        <v>20</v>
      </c>
      <c r="K29" s="3492">
        <v>44315</v>
      </c>
      <c r="L29" s="3507">
        <v>44331</v>
      </c>
      <c r="M29" s="3502" t="s">
        <v>3481</v>
      </c>
      <c r="N29" s="3537" t="s">
        <v>3591</v>
      </c>
      <c r="O29" s="3538" t="s">
        <v>3592</v>
      </c>
      <c r="P29" s="3532">
        <v>44470</v>
      </c>
      <c r="Q29" s="3504" t="s">
        <v>3593</v>
      </c>
      <c r="R29" s="3505">
        <v>2.5000000000000001E-2</v>
      </c>
      <c r="S29" s="3491" t="s">
        <v>3538</v>
      </c>
      <c r="T29" s="3495" t="s">
        <v>3539</v>
      </c>
      <c r="U29" s="3495" t="s">
        <v>3540</v>
      </c>
    </row>
    <row r="30" spans="1:21" s="3539" customFormat="1" ht="30" customHeight="1">
      <c r="A30" s="3491">
        <v>28</v>
      </c>
      <c r="B30" s="3496" t="s">
        <v>3589</v>
      </c>
      <c r="C30" s="3504" t="s">
        <v>3590</v>
      </c>
      <c r="D30" s="3534">
        <v>95</v>
      </c>
      <c r="E30" s="3498">
        <v>7</v>
      </c>
      <c r="F30" s="3535">
        <v>3</v>
      </c>
      <c r="G30" s="3498">
        <v>242725</v>
      </c>
      <c r="H30" s="3498">
        <v>104025</v>
      </c>
      <c r="I30" s="3536">
        <f t="shared" si="1"/>
        <v>346750</v>
      </c>
      <c r="J30" s="3499">
        <f t="shared" si="0"/>
        <v>10</v>
      </c>
      <c r="K30" s="3492">
        <v>44315</v>
      </c>
      <c r="L30" s="3507">
        <v>44331</v>
      </c>
      <c r="M30" s="3502" t="s">
        <v>3481</v>
      </c>
      <c r="N30" s="3537" t="s">
        <v>3591</v>
      </c>
      <c r="O30" s="3538" t="s">
        <v>3594</v>
      </c>
      <c r="P30" s="3532">
        <v>44470</v>
      </c>
      <c r="Q30" s="3504" t="s">
        <v>3593</v>
      </c>
      <c r="R30" s="3505">
        <v>2.5000000000000001E-2</v>
      </c>
      <c r="S30" s="3491" t="s">
        <v>3538</v>
      </c>
      <c r="T30" s="3495" t="s">
        <v>3539</v>
      </c>
      <c r="U30" s="3495" t="s">
        <v>3540</v>
      </c>
    </row>
    <row r="31" spans="1:21" s="3539" customFormat="1" ht="30" customHeight="1">
      <c r="A31" s="3491">
        <v>29</v>
      </c>
      <c r="B31" s="3496" t="s">
        <v>3589</v>
      </c>
      <c r="C31" s="3504" t="s">
        <v>3590</v>
      </c>
      <c r="D31" s="3534">
        <v>98</v>
      </c>
      <c r="E31" s="3498">
        <v>10.98</v>
      </c>
      <c r="F31" s="3535">
        <v>3</v>
      </c>
      <c r="G31" s="3498">
        <v>392740</v>
      </c>
      <c r="H31" s="3498">
        <v>107310</v>
      </c>
      <c r="I31" s="3536">
        <f t="shared" si="1"/>
        <v>500050</v>
      </c>
      <c r="J31" s="3499">
        <f t="shared" si="0"/>
        <v>13.98</v>
      </c>
      <c r="K31" s="3492">
        <v>44315</v>
      </c>
      <c r="L31" s="3507">
        <v>44331</v>
      </c>
      <c r="M31" s="3502" t="s">
        <v>3481</v>
      </c>
      <c r="N31" s="3537" t="s">
        <v>3591</v>
      </c>
      <c r="O31" s="3538" t="s">
        <v>3594</v>
      </c>
      <c r="P31" s="3532">
        <v>44470</v>
      </c>
      <c r="Q31" s="3504" t="s">
        <v>3593</v>
      </c>
      <c r="R31" s="3505">
        <v>2.5000000000000001E-2</v>
      </c>
      <c r="S31" s="3491" t="s">
        <v>3538</v>
      </c>
      <c r="T31" s="3495" t="s">
        <v>3539</v>
      </c>
      <c r="U31" s="3495" t="s">
        <v>3540</v>
      </c>
    </row>
    <row r="32" spans="1:21" s="3539" customFormat="1" ht="30" customHeight="1">
      <c r="A32" s="3491">
        <v>30</v>
      </c>
      <c r="B32" s="3496" t="s">
        <v>3595</v>
      </c>
      <c r="C32" s="3504" t="s">
        <v>3596</v>
      </c>
      <c r="D32" s="3534">
        <v>343</v>
      </c>
      <c r="E32" s="3498">
        <v>8</v>
      </c>
      <c r="F32" s="3535">
        <v>2</v>
      </c>
      <c r="G32" s="3498">
        <v>1001560</v>
      </c>
      <c r="H32" s="3498">
        <v>250389.96000000002</v>
      </c>
      <c r="I32" s="3536">
        <f t="shared" si="1"/>
        <v>1251949.96</v>
      </c>
      <c r="J32" s="3499">
        <f t="shared" si="0"/>
        <v>10</v>
      </c>
      <c r="K32" s="3492">
        <v>44289</v>
      </c>
      <c r="L32" s="3507">
        <v>44296</v>
      </c>
      <c r="M32" s="3502" t="s">
        <v>3530</v>
      </c>
      <c r="N32" s="3537" t="s">
        <v>3548</v>
      </c>
      <c r="O32" s="3538" t="s">
        <v>3549</v>
      </c>
      <c r="P32" s="3532">
        <v>44440</v>
      </c>
      <c r="Q32" s="3504" t="s">
        <v>3593</v>
      </c>
      <c r="R32" s="3505">
        <v>2.5000000000000001E-2</v>
      </c>
      <c r="S32" s="3491" t="s">
        <v>3538</v>
      </c>
      <c r="T32" s="3495" t="s">
        <v>3539</v>
      </c>
      <c r="U32" s="3495" t="s">
        <v>3540</v>
      </c>
    </row>
    <row r="33" spans="1:21" s="3539" customFormat="1" ht="30" customHeight="1">
      <c r="A33" s="3491">
        <v>31</v>
      </c>
      <c r="B33" s="3494" t="s">
        <v>3597</v>
      </c>
      <c r="C33" s="3504"/>
      <c r="D33" s="3534">
        <v>335</v>
      </c>
      <c r="E33" s="3498">
        <v>7</v>
      </c>
      <c r="F33" s="3535">
        <v>3</v>
      </c>
      <c r="G33" s="3498">
        <v>855925</v>
      </c>
      <c r="H33" s="3498">
        <v>366825</v>
      </c>
      <c r="I33" s="3536">
        <f t="shared" si="1"/>
        <v>1222750</v>
      </c>
      <c r="J33" s="3499">
        <f t="shared" si="0"/>
        <v>10</v>
      </c>
      <c r="K33" s="3492">
        <v>44323</v>
      </c>
      <c r="L33" s="3507">
        <v>44378</v>
      </c>
      <c r="M33" s="3502" t="s">
        <v>3534</v>
      </c>
      <c r="N33" s="3537" t="s">
        <v>3543</v>
      </c>
      <c r="O33" s="3538" t="s">
        <v>3598</v>
      </c>
      <c r="P33" s="3500">
        <v>44470</v>
      </c>
      <c r="Q33" s="3504" t="s">
        <v>3599</v>
      </c>
      <c r="R33" s="3505">
        <v>0.05</v>
      </c>
      <c r="S33" s="3491" t="s">
        <v>3538</v>
      </c>
      <c r="T33" s="3495" t="s">
        <v>3539</v>
      </c>
      <c r="U33" s="3495" t="s">
        <v>3540</v>
      </c>
    </row>
    <row r="34" spans="1:21" s="3539" customFormat="1" ht="30" customHeight="1">
      <c r="A34" s="3491">
        <v>32</v>
      </c>
      <c r="B34" s="3543" t="s">
        <v>3600</v>
      </c>
      <c r="C34" s="3504" t="s">
        <v>3601</v>
      </c>
      <c r="D34" s="3534">
        <v>2852.38</v>
      </c>
      <c r="E34" s="3498">
        <v>4.5</v>
      </c>
      <c r="F34" s="3535">
        <v>0</v>
      </c>
      <c r="G34" s="3498">
        <v>4685034.1500000004</v>
      </c>
      <c r="H34" s="3498">
        <v>0</v>
      </c>
      <c r="I34" s="3536">
        <f t="shared" si="1"/>
        <v>4685034.1500000004</v>
      </c>
      <c r="J34" s="3499">
        <f t="shared" si="0"/>
        <v>4.5</v>
      </c>
      <c r="K34" s="3492">
        <v>44324</v>
      </c>
      <c r="L34" s="3507">
        <v>44324</v>
      </c>
      <c r="M34" s="3502" t="s">
        <v>3481</v>
      </c>
      <c r="N34" s="3537" t="s">
        <v>3591</v>
      </c>
      <c r="O34" s="3538" t="s">
        <v>3602</v>
      </c>
      <c r="P34" s="3500">
        <v>44562</v>
      </c>
      <c r="Q34" s="3504" t="s">
        <v>3593</v>
      </c>
      <c r="R34" s="3505">
        <v>2.5000000000000001E-2</v>
      </c>
      <c r="S34" s="3491" t="s">
        <v>3538</v>
      </c>
      <c r="T34" s="3495" t="s">
        <v>3539</v>
      </c>
      <c r="U34" s="3495" t="s">
        <v>3539</v>
      </c>
    </row>
    <row r="35" spans="1:21" s="3539" customFormat="1" ht="30" customHeight="1">
      <c r="A35" s="3491">
        <v>33</v>
      </c>
      <c r="B35" s="3543" t="s">
        <v>3600</v>
      </c>
      <c r="C35" s="3504" t="s">
        <v>3601</v>
      </c>
      <c r="D35" s="3534">
        <v>207.61999999999989</v>
      </c>
      <c r="E35" s="3498">
        <v>4.5</v>
      </c>
      <c r="F35" s="3535">
        <v>0</v>
      </c>
      <c r="G35" s="3498">
        <v>341015.8499999998</v>
      </c>
      <c r="H35" s="3498">
        <v>0</v>
      </c>
      <c r="I35" s="3536">
        <f t="shared" si="1"/>
        <v>341015.8499999998</v>
      </c>
      <c r="J35" s="3499">
        <f t="shared" si="0"/>
        <v>4.5</v>
      </c>
      <c r="K35" s="3492">
        <v>44324</v>
      </c>
      <c r="L35" s="3507">
        <v>44324</v>
      </c>
      <c r="M35" s="3502" t="s">
        <v>3481</v>
      </c>
      <c r="N35" s="3537" t="s">
        <v>3591</v>
      </c>
      <c r="O35" s="3538" t="s">
        <v>3602</v>
      </c>
      <c r="P35" s="3500">
        <v>44562</v>
      </c>
      <c r="Q35" s="3504" t="s">
        <v>3593</v>
      </c>
      <c r="R35" s="3505">
        <v>2.5000000000000001E-2</v>
      </c>
      <c r="S35" s="3491" t="s">
        <v>3538</v>
      </c>
      <c r="T35" s="3495" t="s">
        <v>3539</v>
      </c>
      <c r="U35" s="3495" t="s">
        <v>3539</v>
      </c>
    </row>
    <row r="36" spans="1:21" s="3539" customFormat="1" ht="30" customHeight="1">
      <c r="A36" s="3491">
        <v>34</v>
      </c>
      <c r="B36" s="3494" t="s">
        <v>3603</v>
      </c>
      <c r="C36" s="3504" t="s">
        <v>3604</v>
      </c>
      <c r="D36" s="3534">
        <v>413</v>
      </c>
      <c r="E36" s="3498">
        <v>3</v>
      </c>
      <c r="F36" s="3535">
        <v>3</v>
      </c>
      <c r="G36" s="3498">
        <v>452235</v>
      </c>
      <c r="H36" s="3498">
        <v>452235</v>
      </c>
      <c r="I36" s="3536">
        <f t="shared" si="1"/>
        <v>904470</v>
      </c>
      <c r="J36" s="3499">
        <f t="shared" si="0"/>
        <v>6</v>
      </c>
      <c r="K36" s="3492">
        <v>44326</v>
      </c>
      <c r="L36" s="3507">
        <v>44326</v>
      </c>
      <c r="M36" s="3502" t="s">
        <v>3530</v>
      </c>
      <c r="N36" s="3537" t="s">
        <v>3548</v>
      </c>
      <c r="O36" s="3538" t="s">
        <v>3587</v>
      </c>
      <c r="P36" s="3500">
        <v>44470</v>
      </c>
      <c r="Q36" s="3504" t="s">
        <v>3605</v>
      </c>
      <c r="R36" s="3505">
        <v>5.2999999999999999E-2</v>
      </c>
      <c r="S36" s="3491" t="s">
        <v>3538</v>
      </c>
      <c r="T36" s="3495" t="s">
        <v>3539</v>
      </c>
      <c r="U36" s="3495" t="s">
        <v>3540</v>
      </c>
    </row>
    <row r="37" spans="1:21" s="3539" customFormat="1" ht="30" customHeight="1">
      <c r="A37" s="3491">
        <v>35</v>
      </c>
      <c r="B37" s="3494" t="s">
        <v>3606</v>
      </c>
      <c r="C37" s="3504" t="s">
        <v>3604</v>
      </c>
      <c r="D37" s="3534"/>
      <c r="E37" s="3498"/>
      <c r="F37" s="3535"/>
      <c r="G37" s="3498">
        <v>30000</v>
      </c>
      <c r="H37" s="3498"/>
      <c r="I37" s="3536">
        <f t="shared" si="1"/>
        <v>30000</v>
      </c>
      <c r="J37" s="3499">
        <f t="shared" si="0"/>
        <v>0</v>
      </c>
      <c r="K37" s="3492">
        <v>44326</v>
      </c>
      <c r="L37" s="3507">
        <v>44326</v>
      </c>
      <c r="M37" s="3502"/>
      <c r="N37" s="3537" t="s">
        <v>3548</v>
      </c>
      <c r="O37" s="3538" t="s">
        <v>3602</v>
      </c>
      <c r="P37" s="3500"/>
      <c r="Q37" s="3494" t="s">
        <v>3544</v>
      </c>
      <c r="R37" s="3491" t="s">
        <v>3545</v>
      </c>
      <c r="S37" s="3491" t="s">
        <v>3538</v>
      </c>
      <c r="T37" s="3495" t="s">
        <v>3539</v>
      </c>
      <c r="U37" s="3495" t="s">
        <v>3540</v>
      </c>
    </row>
    <row r="38" spans="1:21" s="3539" customFormat="1" ht="30" customHeight="1">
      <c r="A38" s="3491">
        <v>36</v>
      </c>
      <c r="B38" s="3543" t="s">
        <v>3607</v>
      </c>
      <c r="C38" s="3504" t="s">
        <v>3608</v>
      </c>
      <c r="D38" s="3534">
        <v>718</v>
      </c>
      <c r="E38" s="3498">
        <v>4</v>
      </c>
      <c r="F38" s="3535">
        <v>3</v>
      </c>
      <c r="G38" s="3498">
        <v>1048280</v>
      </c>
      <c r="H38" s="3498">
        <v>786210</v>
      </c>
      <c r="I38" s="3536">
        <f t="shared" si="1"/>
        <v>1834490</v>
      </c>
      <c r="J38" s="3499">
        <f t="shared" si="0"/>
        <v>7</v>
      </c>
      <c r="K38" s="3492">
        <v>44326</v>
      </c>
      <c r="L38" s="3507">
        <v>44326</v>
      </c>
      <c r="M38" s="3502" t="s">
        <v>3530</v>
      </c>
      <c r="N38" s="3537" t="s">
        <v>3591</v>
      </c>
      <c r="O38" s="3538" t="s">
        <v>3609</v>
      </c>
      <c r="P38" s="3500">
        <v>44531</v>
      </c>
      <c r="Q38" s="3504" t="s">
        <v>3593</v>
      </c>
      <c r="R38" s="3553">
        <v>2.5000000000000001E-2</v>
      </c>
      <c r="S38" s="3491" t="s">
        <v>3538</v>
      </c>
      <c r="T38" s="3495" t="s">
        <v>3539</v>
      </c>
      <c r="U38" s="3495" t="s">
        <v>3540</v>
      </c>
    </row>
    <row r="39" spans="1:21" s="3539" customFormat="1" ht="30" customHeight="1">
      <c r="A39" s="3491">
        <v>37</v>
      </c>
      <c r="B39" s="3543" t="s">
        <v>3610</v>
      </c>
      <c r="C39" s="3540" t="s">
        <v>3611</v>
      </c>
      <c r="D39" s="3534">
        <v>56</v>
      </c>
      <c r="E39" s="3498"/>
      <c r="F39" s="3535">
        <v>6</v>
      </c>
      <c r="G39" s="3498"/>
      <c r="H39" s="3498">
        <v>122640</v>
      </c>
      <c r="I39" s="3536">
        <f t="shared" si="1"/>
        <v>122640</v>
      </c>
      <c r="J39" s="3499">
        <f t="shared" si="0"/>
        <v>6</v>
      </c>
      <c r="K39" s="3545">
        <v>44328</v>
      </c>
      <c r="L39" s="3507">
        <v>44348</v>
      </c>
      <c r="M39" s="3502" t="s">
        <v>3481</v>
      </c>
      <c r="N39" s="3537" t="s">
        <v>3557</v>
      </c>
      <c r="O39" s="3538" t="s">
        <v>3587</v>
      </c>
      <c r="P39" s="3500">
        <v>44470</v>
      </c>
      <c r="Q39" s="3494" t="s">
        <v>3612</v>
      </c>
      <c r="R39" s="3553">
        <v>0.17</v>
      </c>
      <c r="S39" s="3491" t="s">
        <v>3538</v>
      </c>
      <c r="T39" s="3495" t="s">
        <v>3540</v>
      </c>
      <c r="U39" s="3495" t="s">
        <v>3540</v>
      </c>
    </row>
    <row r="40" spans="1:21" s="3539" customFormat="1" ht="30" customHeight="1">
      <c r="A40" s="3491">
        <v>38</v>
      </c>
      <c r="B40" s="3494" t="s">
        <v>3613</v>
      </c>
      <c r="C40" s="3504" t="s">
        <v>3614</v>
      </c>
      <c r="D40" s="3534">
        <v>377</v>
      </c>
      <c r="E40" s="3498">
        <v>5.5</v>
      </c>
      <c r="F40" s="3535">
        <v>3</v>
      </c>
      <c r="G40" s="3498">
        <v>756827.5</v>
      </c>
      <c r="H40" s="3498">
        <v>412815</v>
      </c>
      <c r="I40" s="3536">
        <f t="shared" si="1"/>
        <v>1169642.5</v>
      </c>
      <c r="J40" s="3499">
        <f t="shared" si="0"/>
        <v>8.5</v>
      </c>
      <c r="K40" s="3492">
        <v>44337</v>
      </c>
      <c r="L40" s="3507">
        <v>44348</v>
      </c>
      <c r="M40" s="3502" t="s">
        <v>3530</v>
      </c>
      <c r="N40" s="3537" t="s">
        <v>3548</v>
      </c>
      <c r="O40" s="3538" t="s">
        <v>3609</v>
      </c>
      <c r="P40" s="3500">
        <v>44531</v>
      </c>
      <c r="Q40" s="3504" t="s">
        <v>3593</v>
      </c>
      <c r="R40" s="3542">
        <v>2.5000000000000001E-2</v>
      </c>
      <c r="S40" s="3491" t="s">
        <v>3538</v>
      </c>
      <c r="T40" s="3495" t="s">
        <v>3539</v>
      </c>
      <c r="U40" s="3495" t="s">
        <v>3539</v>
      </c>
    </row>
    <row r="41" spans="1:21" s="3539" customFormat="1" ht="30" customHeight="1">
      <c r="A41" s="3491">
        <v>39</v>
      </c>
      <c r="B41" s="3494" t="s">
        <v>3615</v>
      </c>
      <c r="C41" s="3504" t="s">
        <v>3616</v>
      </c>
      <c r="D41" s="3534">
        <v>175</v>
      </c>
      <c r="E41" s="3498">
        <v>8</v>
      </c>
      <c r="F41" s="3535">
        <v>2</v>
      </c>
      <c r="G41" s="3498">
        <v>511000</v>
      </c>
      <c r="H41" s="3498">
        <v>127749.96</v>
      </c>
      <c r="I41" s="3536">
        <f t="shared" si="1"/>
        <v>638749.96</v>
      </c>
      <c r="J41" s="3499">
        <f t="shared" si="0"/>
        <v>10</v>
      </c>
      <c r="K41" s="3492">
        <v>44344</v>
      </c>
      <c r="L41" s="3507">
        <v>44378</v>
      </c>
      <c r="M41" s="3502" t="s">
        <v>3530</v>
      </c>
      <c r="N41" s="3537" t="s">
        <v>3543</v>
      </c>
      <c r="O41" s="3538" t="s">
        <v>3536</v>
      </c>
      <c r="P41" s="3500">
        <v>44470</v>
      </c>
      <c r="Q41" s="3504" t="s">
        <v>3599</v>
      </c>
      <c r="R41" s="3505">
        <v>0.05</v>
      </c>
      <c r="S41" s="3491" t="s">
        <v>3538</v>
      </c>
      <c r="T41" s="3495" t="s">
        <v>3539</v>
      </c>
      <c r="U41" s="3495" t="s">
        <v>3540</v>
      </c>
    </row>
    <row r="42" spans="1:21" s="3539" customFormat="1" ht="30" customHeight="1">
      <c r="A42" s="3491">
        <v>40</v>
      </c>
      <c r="B42" s="3494" t="s">
        <v>3617</v>
      </c>
      <c r="C42" s="3504" t="s">
        <v>3618</v>
      </c>
      <c r="D42" s="3534">
        <v>84</v>
      </c>
      <c r="E42" s="3498">
        <v>12</v>
      </c>
      <c r="F42" s="3535">
        <v>3</v>
      </c>
      <c r="G42" s="3498">
        <v>367920</v>
      </c>
      <c r="H42" s="3498">
        <v>91980</v>
      </c>
      <c r="I42" s="3536">
        <f t="shared" si="1"/>
        <v>459900</v>
      </c>
      <c r="J42" s="3499">
        <f t="shared" si="0"/>
        <v>15</v>
      </c>
      <c r="K42" s="3492">
        <v>44349</v>
      </c>
      <c r="L42" s="3507">
        <v>44362</v>
      </c>
      <c r="M42" s="3502" t="s">
        <v>3481</v>
      </c>
      <c r="N42" s="3537" t="s">
        <v>3619</v>
      </c>
      <c r="O42" s="3538" t="s">
        <v>3530</v>
      </c>
      <c r="P42" s="3500">
        <v>44440</v>
      </c>
      <c r="Q42" s="3504" t="s">
        <v>3620</v>
      </c>
      <c r="R42" s="3542">
        <v>0.02</v>
      </c>
      <c r="S42" s="3491" t="s">
        <v>3538</v>
      </c>
      <c r="T42" s="3495" t="s">
        <v>3539</v>
      </c>
      <c r="U42" s="3495" t="s">
        <v>3540</v>
      </c>
    </row>
    <row r="43" spans="1:21" s="3539" customFormat="1" ht="30" customHeight="1">
      <c r="A43" s="3491">
        <v>41</v>
      </c>
      <c r="B43" s="3543" t="s">
        <v>3621</v>
      </c>
      <c r="C43" s="3540" t="s">
        <v>3622</v>
      </c>
      <c r="D43" s="3534">
        <v>486</v>
      </c>
      <c r="E43" s="3498"/>
      <c r="F43" s="3535">
        <v>5</v>
      </c>
      <c r="G43" s="3498"/>
      <c r="H43" s="3498">
        <v>886950</v>
      </c>
      <c r="I43" s="3536">
        <f t="shared" si="1"/>
        <v>886950</v>
      </c>
      <c r="J43" s="3499">
        <f t="shared" si="0"/>
        <v>5</v>
      </c>
      <c r="K43" s="3545">
        <v>44356</v>
      </c>
      <c r="L43" s="3507">
        <v>44378</v>
      </c>
      <c r="M43" s="3502" t="s">
        <v>3530</v>
      </c>
      <c r="N43" s="3537" t="s">
        <v>3619</v>
      </c>
      <c r="O43" s="3538" t="s">
        <v>3598</v>
      </c>
      <c r="P43" s="3500">
        <v>44470</v>
      </c>
      <c r="Q43" s="3494" t="s">
        <v>3623</v>
      </c>
      <c r="R43" s="3542">
        <v>0.1</v>
      </c>
      <c r="S43" s="3491" t="s">
        <v>3538</v>
      </c>
      <c r="T43" s="3495" t="s">
        <v>3540</v>
      </c>
      <c r="U43" s="3495" t="s">
        <v>3540</v>
      </c>
    </row>
    <row r="44" spans="1:21" s="3539" customFormat="1" ht="30" customHeight="1">
      <c r="A44" s="3491">
        <v>42</v>
      </c>
      <c r="B44" s="3494" t="s">
        <v>3624</v>
      </c>
      <c r="C44" s="3504" t="s">
        <v>3625</v>
      </c>
      <c r="D44" s="3534">
        <v>66</v>
      </c>
      <c r="E44" s="3498">
        <v>12</v>
      </c>
      <c r="F44" s="3535">
        <v>3</v>
      </c>
      <c r="G44" s="3498">
        <v>289080</v>
      </c>
      <c r="H44" s="3498">
        <v>72270</v>
      </c>
      <c r="I44" s="3536">
        <f t="shared" si="1"/>
        <v>361350</v>
      </c>
      <c r="J44" s="3499">
        <f t="shared" si="0"/>
        <v>15</v>
      </c>
      <c r="K44" s="3492">
        <v>44359</v>
      </c>
      <c r="L44" s="3507">
        <v>44378</v>
      </c>
      <c r="M44" s="3502" t="s">
        <v>3530</v>
      </c>
      <c r="N44" s="3537" t="s">
        <v>3626</v>
      </c>
      <c r="O44" s="3538" t="s">
        <v>3536</v>
      </c>
      <c r="P44" s="3500">
        <v>44470</v>
      </c>
      <c r="Q44" s="3504" t="s">
        <v>3627</v>
      </c>
      <c r="R44" s="3542">
        <v>3.2000000000000001E-2</v>
      </c>
      <c r="S44" s="3491" t="s">
        <v>3538</v>
      </c>
      <c r="T44" s="3495" t="s">
        <v>3539</v>
      </c>
      <c r="U44" s="3495" t="s">
        <v>3539</v>
      </c>
    </row>
    <row r="45" spans="1:21" s="3539" customFormat="1" ht="30" customHeight="1">
      <c r="A45" s="3491">
        <v>43</v>
      </c>
      <c r="B45" s="3543" t="s">
        <v>3628</v>
      </c>
      <c r="C45" s="3554" t="s">
        <v>3629</v>
      </c>
      <c r="D45" s="3534">
        <v>97</v>
      </c>
      <c r="E45" s="3498">
        <v>12</v>
      </c>
      <c r="F45" s="3535">
        <v>3</v>
      </c>
      <c r="G45" s="3498">
        <v>424860</v>
      </c>
      <c r="H45" s="3498">
        <v>106215</v>
      </c>
      <c r="I45" s="3536">
        <f t="shared" si="1"/>
        <v>531075</v>
      </c>
      <c r="J45" s="3499">
        <f t="shared" si="0"/>
        <v>15</v>
      </c>
      <c r="K45" s="3492">
        <v>44375</v>
      </c>
      <c r="L45" s="3507">
        <v>44409</v>
      </c>
      <c r="M45" s="3502" t="s">
        <v>3534</v>
      </c>
      <c r="N45" s="3537" t="s">
        <v>3619</v>
      </c>
      <c r="O45" s="3538" t="s">
        <v>3587</v>
      </c>
      <c r="P45" s="3500">
        <v>44531</v>
      </c>
      <c r="Q45" s="3504" t="s">
        <v>3630</v>
      </c>
      <c r="R45" s="3542">
        <v>0.03</v>
      </c>
      <c r="S45" s="3491" t="s">
        <v>3570</v>
      </c>
      <c r="T45" s="3495" t="s">
        <v>3522</v>
      </c>
      <c r="U45" s="3495" t="s">
        <v>3571</v>
      </c>
    </row>
    <row r="46" spans="1:21" s="3539" customFormat="1" ht="30" customHeight="1">
      <c r="A46" s="3491">
        <v>44</v>
      </c>
      <c r="B46" s="3494" t="s">
        <v>3631</v>
      </c>
      <c r="C46" s="3504" t="s">
        <v>3632</v>
      </c>
      <c r="D46" s="3534">
        <v>1538</v>
      </c>
      <c r="E46" s="3498">
        <v>2.6</v>
      </c>
      <c r="F46" s="3535">
        <v>2</v>
      </c>
      <c r="G46" s="3498">
        <v>1459562</v>
      </c>
      <c r="H46" s="3498">
        <v>1122740</v>
      </c>
      <c r="I46" s="3536">
        <f t="shared" si="1"/>
        <v>2582302</v>
      </c>
      <c r="J46" s="3499">
        <f t="shared" si="0"/>
        <v>4.5999999999999996</v>
      </c>
      <c r="K46" s="3492">
        <v>44375</v>
      </c>
      <c r="L46" s="3507">
        <v>44378</v>
      </c>
      <c r="M46" s="3502" t="s">
        <v>3530</v>
      </c>
      <c r="N46" s="3537" t="s">
        <v>3633</v>
      </c>
      <c r="O46" s="3538" t="s">
        <v>3536</v>
      </c>
      <c r="P46" s="3500"/>
      <c r="Q46" s="3504" t="s">
        <v>3634</v>
      </c>
      <c r="R46" s="3542">
        <v>0.03</v>
      </c>
      <c r="S46" s="3491" t="s">
        <v>3570</v>
      </c>
      <c r="T46" s="3495" t="s">
        <v>3522</v>
      </c>
      <c r="U46" s="3495" t="s">
        <v>3522</v>
      </c>
    </row>
    <row r="47" spans="1:21" s="3539" customFormat="1" ht="30" customHeight="1">
      <c r="A47" s="3491">
        <v>45</v>
      </c>
      <c r="B47" s="3494" t="s">
        <v>3635</v>
      </c>
      <c r="C47" s="3504" t="s">
        <v>3636</v>
      </c>
      <c r="D47" s="3534">
        <v>106</v>
      </c>
      <c r="E47" s="3498">
        <v>12</v>
      </c>
      <c r="F47" s="3535">
        <v>3</v>
      </c>
      <c r="G47" s="3498">
        <v>464280</v>
      </c>
      <c r="H47" s="3498">
        <v>116070</v>
      </c>
      <c r="I47" s="3536">
        <f t="shared" si="1"/>
        <v>580350</v>
      </c>
      <c r="J47" s="3499">
        <f t="shared" si="0"/>
        <v>15</v>
      </c>
      <c r="K47" s="3492">
        <v>44380</v>
      </c>
      <c r="L47" s="3507">
        <v>44409</v>
      </c>
      <c r="M47" s="3502" t="s">
        <v>3530</v>
      </c>
      <c r="N47" s="3537" t="s">
        <v>3619</v>
      </c>
      <c r="O47" s="3538" t="s">
        <v>3536</v>
      </c>
      <c r="P47" s="3500">
        <v>44562</v>
      </c>
      <c r="Q47" s="3504" t="s">
        <v>3637</v>
      </c>
      <c r="R47" s="3542">
        <v>2.5000000000000001E-2</v>
      </c>
      <c r="S47" s="3491" t="s">
        <v>3570</v>
      </c>
      <c r="T47" s="3495" t="s">
        <v>3522</v>
      </c>
      <c r="U47" s="3495" t="s">
        <v>3522</v>
      </c>
    </row>
    <row r="48" spans="1:21" s="3539" customFormat="1" ht="30" customHeight="1">
      <c r="A48" s="3491">
        <v>46</v>
      </c>
      <c r="B48" s="3494" t="s">
        <v>3638</v>
      </c>
      <c r="C48" s="3504" t="s">
        <v>3639</v>
      </c>
      <c r="D48" s="3534">
        <v>17</v>
      </c>
      <c r="E48" s="3498">
        <v>12</v>
      </c>
      <c r="F48" s="3535">
        <v>3</v>
      </c>
      <c r="G48" s="3498">
        <v>74460</v>
      </c>
      <c r="H48" s="3498">
        <v>18615</v>
      </c>
      <c r="I48" s="3536">
        <f t="shared" si="1"/>
        <v>93075</v>
      </c>
      <c r="J48" s="3499">
        <f t="shared" si="0"/>
        <v>15</v>
      </c>
      <c r="K48" s="3492">
        <v>44382</v>
      </c>
      <c r="L48" s="3507">
        <v>44387</v>
      </c>
      <c r="M48" s="3502" t="s">
        <v>3481</v>
      </c>
      <c r="N48" s="3537" t="s">
        <v>3574</v>
      </c>
      <c r="O48" s="3538" t="s">
        <v>3640</v>
      </c>
      <c r="P48" s="3500">
        <v>44440</v>
      </c>
      <c r="Q48" s="3494" t="s">
        <v>3641</v>
      </c>
      <c r="R48" s="3491" t="s">
        <v>3642</v>
      </c>
      <c r="S48" s="3491" t="s">
        <v>3570</v>
      </c>
      <c r="T48" s="3495" t="s">
        <v>3522</v>
      </c>
      <c r="U48" s="3495" t="s">
        <v>3571</v>
      </c>
    </row>
    <row r="49" spans="1:21" s="3539" customFormat="1" ht="30" customHeight="1">
      <c r="A49" s="3491">
        <v>47</v>
      </c>
      <c r="B49" s="3543" t="s">
        <v>3643</v>
      </c>
      <c r="C49" s="3504" t="s">
        <v>3644</v>
      </c>
      <c r="D49" s="3534">
        <v>1396</v>
      </c>
      <c r="E49" s="3498">
        <v>5</v>
      </c>
      <c r="F49" s="3535">
        <v>3</v>
      </c>
      <c r="G49" s="3498">
        <v>2547700</v>
      </c>
      <c r="H49" s="3498">
        <v>1528620</v>
      </c>
      <c r="I49" s="3536">
        <f t="shared" si="1"/>
        <v>4076320</v>
      </c>
      <c r="J49" s="3499">
        <f t="shared" si="0"/>
        <v>8</v>
      </c>
      <c r="K49" s="3492">
        <v>44382</v>
      </c>
      <c r="L49" s="3507">
        <v>44397</v>
      </c>
      <c r="M49" s="3502" t="s">
        <v>3530</v>
      </c>
      <c r="N49" s="3537" t="s">
        <v>3633</v>
      </c>
      <c r="O49" s="3538" t="s">
        <v>3594</v>
      </c>
      <c r="P49" s="3500">
        <v>44540</v>
      </c>
      <c r="Q49" s="3504" t="s">
        <v>3634</v>
      </c>
      <c r="R49" s="3505">
        <v>2.5000000000000001E-2</v>
      </c>
      <c r="S49" s="3491" t="s">
        <v>3570</v>
      </c>
      <c r="T49" s="3495" t="s">
        <v>3522</v>
      </c>
      <c r="U49" s="3495" t="s">
        <v>3571</v>
      </c>
    </row>
    <row r="50" spans="1:21" s="3539" customFormat="1" ht="30" customHeight="1">
      <c r="A50" s="3491">
        <v>48</v>
      </c>
      <c r="B50" s="3543" t="s">
        <v>3643</v>
      </c>
      <c r="C50" s="3504" t="s">
        <v>3645</v>
      </c>
      <c r="D50" s="3534">
        <v>0</v>
      </c>
      <c r="E50" s="3498"/>
      <c r="F50" s="3535"/>
      <c r="G50" s="3498">
        <v>60000</v>
      </c>
      <c r="H50" s="3498">
        <v>0</v>
      </c>
      <c r="I50" s="3536">
        <f t="shared" si="1"/>
        <v>60000</v>
      </c>
      <c r="J50" s="3499">
        <f t="shared" si="0"/>
        <v>0</v>
      </c>
      <c r="K50" s="3492">
        <v>44382</v>
      </c>
      <c r="L50" s="3507"/>
      <c r="M50" s="3502">
        <v>12</v>
      </c>
      <c r="N50" s="3537" t="s">
        <v>3633</v>
      </c>
      <c r="O50" s="3538" t="s">
        <v>3594</v>
      </c>
      <c r="P50" s="3500">
        <v>44540</v>
      </c>
      <c r="Q50" s="3494" t="s">
        <v>3641</v>
      </c>
      <c r="R50" s="3491" t="s">
        <v>3642</v>
      </c>
      <c r="S50" s="3491" t="s">
        <v>3570</v>
      </c>
      <c r="T50" s="3495" t="s">
        <v>3522</v>
      </c>
      <c r="U50" s="3495" t="s">
        <v>3571</v>
      </c>
    </row>
    <row r="51" spans="1:21" s="3539" customFormat="1" ht="30" customHeight="1">
      <c r="A51" s="3491">
        <v>49</v>
      </c>
      <c r="B51" s="3494" t="s">
        <v>3646</v>
      </c>
      <c r="C51" s="3504" t="s">
        <v>3647</v>
      </c>
      <c r="D51" s="3534">
        <v>178</v>
      </c>
      <c r="E51" s="3498"/>
      <c r="F51" s="3535">
        <v>3</v>
      </c>
      <c r="G51" s="3498"/>
      <c r="H51" s="3498">
        <v>192240</v>
      </c>
      <c r="I51" s="3536">
        <f t="shared" si="1"/>
        <v>192240</v>
      </c>
      <c r="J51" s="3499">
        <f t="shared" si="0"/>
        <v>3</v>
      </c>
      <c r="K51" s="3492">
        <v>44384</v>
      </c>
      <c r="L51" s="3507">
        <v>44501</v>
      </c>
      <c r="M51" s="3502"/>
      <c r="N51" s="3537" t="s">
        <v>3648</v>
      </c>
      <c r="O51" s="3538" t="s">
        <v>3649</v>
      </c>
      <c r="P51" s="3500"/>
      <c r="Q51" s="3555" t="s">
        <v>3650</v>
      </c>
      <c r="R51" s="3505"/>
      <c r="S51" s="3491" t="s">
        <v>3570</v>
      </c>
      <c r="T51" s="3495" t="s">
        <v>3522</v>
      </c>
      <c r="U51" s="3495" t="s">
        <v>3522</v>
      </c>
    </row>
    <row r="52" spans="1:21" s="3539" customFormat="1" ht="30" customHeight="1">
      <c r="A52" s="3491">
        <v>50</v>
      </c>
      <c r="B52" s="3543" t="s">
        <v>3651</v>
      </c>
      <c r="C52" s="3540" t="s">
        <v>3652</v>
      </c>
      <c r="D52" s="3534">
        <v>265</v>
      </c>
      <c r="E52" s="3541">
        <v>7</v>
      </c>
      <c r="F52" s="3541">
        <v>3</v>
      </c>
      <c r="G52" s="3541">
        <v>677075</v>
      </c>
      <c r="H52" s="3541">
        <v>290175</v>
      </c>
      <c r="I52" s="3536">
        <f t="shared" si="1"/>
        <v>967250</v>
      </c>
      <c r="J52" s="3499">
        <f t="shared" si="0"/>
        <v>10</v>
      </c>
      <c r="K52" s="3492">
        <v>44383</v>
      </c>
      <c r="L52" s="3507">
        <v>44409</v>
      </c>
      <c r="M52" s="3502" t="s">
        <v>3530</v>
      </c>
      <c r="N52" s="3537" t="s">
        <v>3619</v>
      </c>
      <c r="O52" s="3538" t="s">
        <v>3653</v>
      </c>
      <c r="P52" s="3500">
        <v>44593</v>
      </c>
      <c r="Q52" s="3504" t="s">
        <v>3654</v>
      </c>
      <c r="R52" s="3505">
        <v>0.05</v>
      </c>
      <c r="S52" s="3491" t="s">
        <v>3570</v>
      </c>
      <c r="T52" s="3495" t="s">
        <v>3522</v>
      </c>
      <c r="U52" s="3495" t="s">
        <v>3571</v>
      </c>
    </row>
    <row r="53" spans="1:21" s="3539" customFormat="1" ht="30" customHeight="1">
      <c r="A53" s="3491">
        <v>51</v>
      </c>
      <c r="B53" s="3543" t="s">
        <v>3655</v>
      </c>
      <c r="C53" s="3504" t="s">
        <v>3656</v>
      </c>
      <c r="D53" s="3534">
        <v>230</v>
      </c>
      <c r="E53" s="3498">
        <v>5</v>
      </c>
      <c r="F53" s="3535">
        <v>3</v>
      </c>
      <c r="G53" s="3541">
        <v>419750</v>
      </c>
      <c r="H53" s="3541">
        <v>251850</v>
      </c>
      <c r="I53" s="3536">
        <f t="shared" si="1"/>
        <v>671600</v>
      </c>
      <c r="J53" s="3499">
        <f t="shared" si="0"/>
        <v>8</v>
      </c>
      <c r="K53" s="3492">
        <v>44391</v>
      </c>
      <c r="L53" s="3507">
        <v>44409</v>
      </c>
      <c r="M53" s="3502" t="s">
        <v>3530</v>
      </c>
      <c r="N53" s="3537" t="s">
        <v>3657</v>
      </c>
      <c r="O53" s="3538" t="s">
        <v>3609</v>
      </c>
      <c r="P53" s="3500">
        <v>44593</v>
      </c>
      <c r="Q53" s="3504" t="s">
        <v>3576</v>
      </c>
      <c r="R53" s="3505">
        <v>0.05</v>
      </c>
      <c r="S53" s="3491" t="s">
        <v>3570</v>
      </c>
      <c r="T53" s="3495" t="s">
        <v>3522</v>
      </c>
      <c r="U53" s="3495" t="s">
        <v>3571</v>
      </c>
    </row>
    <row r="54" spans="1:21" s="3539" customFormat="1" ht="30" customHeight="1">
      <c r="A54" s="3491">
        <v>52</v>
      </c>
      <c r="B54" s="3543" t="s">
        <v>3655</v>
      </c>
      <c r="C54" s="3504" t="s">
        <v>3658</v>
      </c>
      <c r="D54" s="3534"/>
      <c r="E54" s="3498"/>
      <c r="F54" s="3535"/>
      <c r="G54" s="3498">
        <v>30000</v>
      </c>
      <c r="H54" s="3498">
        <v>0</v>
      </c>
      <c r="I54" s="3536">
        <f t="shared" si="1"/>
        <v>30000</v>
      </c>
      <c r="J54" s="3499">
        <f t="shared" si="0"/>
        <v>0</v>
      </c>
      <c r="K54" s="3492">
        <v>44391</v>
      </c>
      <c r="L54" s="3507">
        <v>44409</v>
      </c>
      <c r="M54" s="3502" t="s">
        <v>3530</v>
      </c>
      <c r="N54" s="3537" t="s">
        <v>3657</v>
      </c>
      <c r="O54" s="3538" t="s">
        <v>3579</v>
      </c>
      <c r="P54" s="3500">
        <v>44783</v>
      </c>
      <c r="Q54" s="3494" t="s">
        <v>3641</v>
      </c>
      <c r="R54" s="3491" t="s">
        <v>3642</v>
      </c>
      <c r="S54" s="3491" t="s">
        <v>3570</v>
      </c>
      <c r="T54" s="3495" t="s">
        <v>3522</v>
      </c>
      <c r="U54" s="3495" t="s">
        <v>3571</v>
      </c>
    </row>
    <row r="55" spans="1:21" s="3539" customFormat="1" ht="30" customHeight="1">
      <c r="A55" s="3491">
        <v>53</v>
      </c>
      <c r="B55" s="3543" t="s">
        <v>3659</v>
      </c>
      <c r="C55" s="3498" t="s">
        <v>3660</v>
      </c>
      <c r="D55" s="3534">
        <v>16</v>
      </c>
      <c r="E55" s="3498">
        <v>17</v>
      </c>
      <c r="F55" s="3535">
        <v>3</v>
      </c>
      <c r="G55" s="3498">
        <v>99280</v>
      </c>
      <c r="H55" s="3498">
        <v>17520</v>
      </c>
      <c r="I55" s="3536">
        <f t="shared" si="1"/>
        <v>116800</v>
      </c>
      <c r="J55" s="3499">
        <f t="shared" si="0"/>
        <v>20</v>
      </c>
      <c r="K55" s="3492">
        <v>44393</v>
      </c>
      <c r="L55" s="3507">
        <v>44440</v>
      </c>
      <c r="M55" s="3502" t="s">
        <v>3530</v>
      </c>
      <c r="N55" s="3537" t="s">
        <v>3574</v>
      </c>
      <c r="O55" s="3538" t="s">
        <v>3530</v>
      </c>
      <c r="P55" s="3500">
        <v>44501</v>
      </c>
      <c r="Q55" s="3494" t="s">
        <v>3641</v>
      </c>
      <c r="R55" s="3491" t="s">
        <v>3642</v>
      </c>
      <c r="S55" s="3491" t="s">
        <v>3570</v>
      </c>
      <c r="T55" s="3495" t="s">
        <v>3522</v>
      </c>
      <c r="U55" s="3495" t="s">
        <v>3571</v>
      </c>
    </row>
    <row r="56" spans="1:21" s="3539" customFormat="1" ht="30" customHeight="1">
      <c r="A56" s="3491">
        <v>54</v>
      </c>
      <c r="B56" s="3543" t="s">
        <v>3659</v>
      </c>
      <c r="C56" s="3498" t="s">
        <v>3661</v>
      </c>
      <c r="D56" s="3534">
        <v>10</v>
      </c>
      <c r="E56" s="3498"/>
      <c r="F56" s="3535">
        <v>5</v>
      </c>
      <c r="G56" s="3498"/>
      <c r="H56" s="3541">
        <v>18250</v>
      </c>
      <c r="I56" s="3536">
        <f t="shared" si="1"/>
        <v>18250</v>
      </c>
      <c r="J56" s="3499">
        <f t="shared" si="0"/>
        <v>5</v>
      </c>
      <c r="K56" s="3492">
        <v>44393</v>
      </c>
      <c r="L56" s="3507">
        <v>44440</v>
      </c>
      <c r="M56" s="3502" t="s">
        <v>3530</v>
      </c>
      <c r="N56" s="3537" t="s">
        <v>3662</v>
      </c>
      <c r="O56" s="3538" t="s">
        <v>3530</v>
      </c>
      <c r="P56" s="3500">
        <v>44501</v>
      </c>
      <c r="Q56" s="3494" t="s">
        <v>3663</v>
      </c>
      <c r="R56" s="3491" t="s">
        <v>3664</v>
      </c>
      <c r="S56" s="3491" t="s">
        <v>3665</v>
      </c>
      <c r="T56" s="3495" t="s">
        <v>3666</v>
      </c>
      <c r="U56" s="3495" t="s">
        <v>3666</v>
      </c>
    </row>
    <row r="57" spans="1:21" s="3539" customFormat="1" ht="30" customHeight="1">
      <c r="A57" s="3491">
        <v>55</v>
      </c>
      <c r="B57" s="3543" t="s">
        <v>3667</v>
      </c>
      <c r="C57" s="3498" t="s">
        <v>3668</v>
      </c>
      <c r="D57" s="3534">
        <v>42</v>
      </c>
      <c r="E57" s="3498">
        <v>12</v>
      </c>
      <c r="F57" s="3535">
        <v>3</v>
      </c>
      <c r="G57" s="3498">
        <v>183960</v>
      </c>
      <c r="H57" s="3498">
        <v>45990</v>
      </c>
      <c r="I57" s="3536">
        <f t="shared" si="1"/>
        <v>229950</v>
      </c>
      <c r="J57" s="3499">
        <f t="shared" si="0"/>
        <v>15</v>
      </c>
      <c r="K57" s="3492">
        <v>44400</v>
      </c>
      <c r="L57" s="3507">
        <v>44409</v>
      </c>
      <c r="M57" s="3502" t="s">
        <v>3530</v>
      </c>
      <c r="N57" s="3537" t="s">
        <v>3626</v>
      </c>
      <c r="O57" s="3538" t="s">
        <v>3536</v>
      </c>
      <c r="P57" s="3500">
        <v>44562</v>
      </c>
      <c r="Q57" s="3504" t="s">
        <v>3669</v>
      </c>
      <c r="R57" s="3505">
        <v>0.06</v>
      </c>
      <c r="S57" s="3491" t="s">
        <v>3665</v>
      </c>
      <c r="T57" s="3495" t="s">
        <v>3670</v>
      </c>
      <c r="U57" s="3495" t="s">
        <v>3666</v>
      </c>
    </row>
    <row r="58" spans="1:21" s="3539" customFormat="1" ht="30" customHeight="1">
      <c r="A58" s="3491">
        <v>56</v>
      </c>
      <c r="B58" s="3494" t="s">
        <v>3671</v>
      </c>
      <c r="C58" s="3498" t="s">
        <v>3672</v>
      </c>
      <c r="D58" s="3534">
        <v>114</v>
      </c>
      <c r="E58" s="3498">
        <v>9</v>
      </c>
      <c r="F58" s="3535">
        <v>3</v>
      </c>
      <c r="G58" s="3498">
        <v>374490</v>
      </c>
      <c r="H58" s="3498">
        <v>124830</v>
      </c>
      <c r="I58" s="3536">
        <f t="shared" si="1"/>
        <v>499320</v>
      </c>
      <c r="J58" s="3499">
        <f t="shared" si="0"/>
        <v>12</v>
      </c>
      <c r="K58" s="3492">
        <v>44373</v>
      </c>
      <c r="L58" s="3507">
        <v>44409</v>
      </c>
      <c r="M58" s="3502" t="s">
        <v>3534</v>
      </c>
      <c r="N58" s="3537" t="s">
        <v>3673</v>
      </c>
      <c r="O58" s="3538" t="s">
        <v>3598</v>
      </c>
      <c r="P58" s="3500">
        <v>44593</v>
      </c>
      <c r="Q58" s="3504" t="s">
        <v>3674</v>
      </c>
      <c r="R58" s="3505">
        <v>0.04</v>
      </c>
      <c r="S58" s="3491" t="s">
        <v>3665</v>
      </c>
      <c r="T58" s="3495" t="s">
        <v>3670</v>
      </c>
      <c r="U58" s="3495" t="s">
        <v>3670</v>
      </c>
    </row>
    <row r="59" spans="1:21" s="3539" customFormat="1" ht="30" customHeight="1">
      <c r="A59" s="3491">
        <v>57</v>
      </c>
      <c r="B59" s="3543" t="s">
        <v>3675</v>
      </c>
      <c r="C59" s="3540" t="s">
        <v>3676</v>
      </c>
      <c r="D59" s="3534">
        <v>1436</v>
      </c>
      <c r="E59" s="3498"/>
      <c r="F59" s="3535">
        <v>4.5</v>
      </c>
      <c r="G59" s="3498"/>
      <c r="H59" s="3498">
        <v>2358630</v>
      </c>
      <c r="I59" s="3536">
        <f t="shared" si="1"/>
        <v>2358630</v>
      </c>
      <c r="J59" s="3499">
        <f t="shared" si="0"/>
        <v>4.5</v>
      </c>
      <c r="K59" s="3545">
        <v>44400</v>
      </c>
      <c r="L59" s="3493">
        <v>44440</v>
      </c>
      <c r="M59" s="3502" t="s">
        <v>3530</v>
      </c>
      <c r="N59" s="3537" t="s">
        <v>3677</v>
      </c>
      <c r="O59" s="3538" t="s">
        <v>3678</v>
      </c>
      <c r="P59" s="3546">
        <v>44652</v>
      </c>
      <c r="Q59" s="3556" t="s">
        <v>3679</v>
      </c>
      <c r="R59" s="3505">
        <v>5.5E-2</v>
      </c>
      <c r="S59" s="3491" t="s">
        <v>3665</v>
      </c>
      <c r="T59" s="3495" t="s">
        <v>3666</v>
      </c>
      <c r="U59" s="3495" t="s">
        <v>3666</v>
      </c>
    </row>
    <row r="60" spans="1:21" s="3539" customFormat="1" ht="30" customHeight="1">
      <c r="A60" s="3491">
        <v>58</v>
      </c>
      <c r="B60" s="3543" t="s">
        <v>3680</v>
      </c>
      <c r="C60" s="3498" t="s">
        <v>3681</v>
      </c>
      <c r="D60" s="3534">
        <v>45</v>
      </c>
      <c r="E60" s="3498">
        <v>20</v>
      </c>
      <c r="F60" s="3535">
        <v>3</v>
      </c>
      <c r="G60" s="3498">
        <v>328500</v>
      </c>
      <c r="H60" s="3498">
        <v>49275</v>
      </c>
      <c r="I60" s="3536">
        <f t="shared" si="1"/>
        <v>377775</v>
      </c>
      <c r="J60" s="3499">
        <f t="shared" si="0"/>
        <v>23</v>
      </c>
      <c r="K60" s="3492">
        <v>44407</v>
      </c>
      <c r="L60" s="3507">
        <v>44409</v>
      </c>
      <c r="M60" s="3502" t="s">
        <v>3530</v>
      </c>
      <c r="N60" s="3537" t="s">
        <v>3662</v>
      </c>
      <c r="O60" s="3538" t="s">
        <v>3598</v>
      </c>
      <c r="P60" s="3500">
        <v>44501</v>
      </c>
      <c r="Q60" s="3494" t="s">
        <v>3663</v>
      </c>
      <c r="R60" s="3491" t="s">
        <v>3664</v>
      </c>
      <c r="S60" s="3491" t="s">
        <v>3665</v>
      </c>
      <c r="T60" s="3495" t="s">
        <v>3670</v>
      </c>
      <c r="U60" s="3495" t="s">
        <v>3670</v>
      </c>
    </row>
    <row r="61" spans="1:21" s="3539" customFormat="1" ht="30" customHeight="1">
      <c r="A61" s="3491">
        <v>59</v>
      </c>
      <c r="B61" s="3543" t="s">
        <v>3682</v>
      </c>
      <c r="C61" s="3498" t="s">
        <v>3683</v>
      </c>
      <c r="D61" s="3534">
        <v>49</v>
      </c>
      <c r="E61" s="3498">
        <v>20.48</v>
      </c>
      <c r="F61" s="3535">
        <v>3</v>
      </c>
      <c r="G61" s="3498">
        <v>366345</v>
      </c>
      <c r="H61" s="3498">
        <v>53655</v>
      </c>
      <c r="I61" s="3536">
        <f t="shared" si="1"/>
        <v>420000</v>
      </c>
      <c r="J61" s="3499">
        <f t="shared" si="0"/>
        <v>23.48</v>
      </c>
      <c r="K61" s="3492">
        <v>44414</v>
      </c>
      <c r="L61" s="3507">
        <v>44440</v>
      </c>
      <c r="M61" s="3502" t="s">
        <v>3530</v>
      </c>
      <c r="N61" s="3537" t="s">
        <v>3662</v>
      </c>
      <c r="O61" s="3538" t="s">
        <v>3587</v>
      </c>
      <c r="P61" s="3500">
        <v>44562</v>
      </c>
      <c r="Q61" s="3494" t="s">
        <v>3663</v>
      </c>
      <c r="R61" s="3491" t="s">
        <v>3664</v>
      </c>
      <c r="S61" s="3491" t="s">
        <v>3665</v>
      </c>
      <c r="T61" s="3495" t="s">
        <v>3670</v>
      </c>
      <c r="U61" s="3495" t="s">
        <v>3666</v>
      </c>
    </row>
    <row r="62" spans="1:21" s="3539" customFormat="1" ht="30" customHeight="1">
      <c r="A62" s="3491">
        <v>60</v>
      </c>
      <c r="B62" s="3543" t="s">
        <v>3684</v>
      </c>
      <c r="C62" s="3540" t="s">
        <v>3685</v>
      </c>
      <c r="D62" s="3534">
        <v>192</v>
      </c>
      <c r="E62" s="3498"/>
      <c r="F62" s="3535">
        <v>5</v>
      </c>
      <c r="G62" s="3498"/>
      <c r="H62" s="3498">
        <v>350400</v>
      </c>
      <c r="I62" s="3536">
        <f t="shared" si="1"/>
        <v>350400</v>
      </c>
      <c r="J62" s="3499">
        <f t="shared" si="0"/>
        <v>5</v>
      </c>
      <c r="K62" s="3492">
        <v>44419</v>
      </c>
      <c r="L62" s="3507">
        <v>44418</v>
      </c>
      <c r="M62" s="3502" t="s">
        <v>3481</v>
      </c>
      <c r="N62" s="3537" t="s">
        <v>3626</v>
      </c>
      <c r="O62" s="3538" t="s">
        <v>3686</v>
      </c>
      <c r="P62" s="3500">
        <v>44479</v>
      </c>
      <c r="Q62" s="3494" t="s">
        <v>3687</v>
      </c>
      <c r="R62" s="3505">
        <v>0.1</v>
      </c>
      <c r="S62" s="3491" t="s">
        <v>3665</v>
      </c>
      <c r="T62" s="3495" t="s">
        <v>3666</v>
      </c>
      <c r="U62" s="3495" t="s">
        <v>3666</v>
      </c>
    </row>
    <row r="63" spans="1:21" s="3539" customFormat="1" ht="30" customHeight="1">
      <c r="A63" s="3491">
        <v>61</v>
      </c>
      <c r="B63" s="3543" t="s">
        <v>3688</v>
      </c>
      <c r="C63" s="3504" t="s">
        <v>3689</v>
      </c>
      <c r="D63" s="3534">
        <v>80</v>
      </c>
      <c r="E63" s="3498">
        <v>11</v>
      </c>
      <c r="F63" s="3535">
        <v>3</v>
      </c>
      <c r="G63" s="3498">
        <v>321200</v>
      </c>
      <c r="H63" s="3498">
        <v>87600</v>
      </c>
      <c r="I63" s="3536">
        <f t="shared" si="1"/>
        <v>408800</v>
      </c>
      <c r="J63" s="3499">
        <f t="shared" si="0"/>
        <v>14</v>
      </c>
      <c r="K63" s="3492">
        <v>44419</v>
      </c>
      <c r="L63" s="3507">
        <v>44423</v>
      </c>
      <c r="M63" s="3502" t="s">
        <v>3530</v>
      </c>
      <c r="N63" s="3537" t="s">
        <v>3619</v>
      </c>
      <c r="O63" s="3538" t="s">
        <v>3594</v>
      </c>
      <c r="P63" s="3500">
        <v>44562</v>
      </c>
      <c r="Q63" s="3504" t="s">
        <v>3690</v>
      </c>
      <c r="R63" s="3505">
        <v>3.5000000000000003E-2</v>
      </c>
      <c r="S63" s="3491" t="s">
        <v>3665</v>
      </c>
      <c r="T63" s="3495" t="s">
        <v>3670</v>
      </c>
      <c r="U63" s="3495" t="s">
        <v>3666</v>
      </c>
    </row>
    <row r="64" spans="1:21" s="3560" customFormat="1" ht="33.75" customHeight="1">
      <c r="A64" s="3491">
        <v>62</v>
      </c>
      <c r="B64" s="3543" t="s">
        <v>3691</v>
      </c>
      <c r="C64" s="3504" t="s">
        <v>3692</v>
      </c>
      <c r="D64" s="3534">
        <v>512</v>
      </c>
      <c r="E64" s="3498">
        <v>9</v>
      </c>
      <c r="F64" s="3498">
        <v>3</v>
      </c>
      <c r="G64" s="3498">
        <v>1681920</v>
      </c>
      <c r="H64" s="3498">
        <v>560640</v>
      </c>
      <c r="I64" s="3498">
        <f t="shared" si="1"/>
        <v>2242560</v>
      </c>
      <c r="J64" s="3498">
        <f>F64+E64</f>
        <v>12</v>
      </c>
      <c r="K64" s="3557">
        <v>44424</v>
      </c>
      <c r="L64" s="3557">
        <v>44440</v>
      </c>
      <c r="M64" s="3502" t="s">
        <v>3530</v>
      </c>
      <c r="N64" s="3537" t="s">
        <v>3693</v>
      </c>
      <c r="O64" s="3558" t="s">
        <v>3536</v>
      </c>
      <c r="P64" s="3527">
        <v>44696</v>
      </c>
      <c r="Q64" s="3504" t="s">
        <v>3694</v>
      </c>
      <c r="R64" s="3505">
        <v>2.5000000000000001E-2</v>
      </c>
      <c r="S64" s="3559" t="s">
        <v>3665</v>
      </c>
      <c r="T64" s="3495" t="s">
        <v>3670</v>
      </c>
      <c r="U64" s="3495" t="s">
        <v>3670</v>
      </c>
    </row>
    <row r="65" spans="1:21" s="3560" customFormat="1" ht="33.75" customHeight="1">
      <c r="A65" s="3491">
        <v>63</v>
      </c>
      <c r="B65" s="3543" t="s">
        <v>3695</v>
      </c>
      <c r="C65" s="3504" t="s">
        <v>3696</v>
      </c>
      <c r="D65" s="3561">
        <v>689</v>
      </c>
      <c r="E65" s="3498">
        <v>4</v>
      </c>
      <c r="F65" s="3498">
        <v>3</v>
      </c>
      <c r="G65" s="3498">
        <v>1005940</v>
      </c>
      <c r="H65" s="3498">
        <v>754455</v>
      </c>
      <c r="I65" s="3498">
        <f t="shared" si="1"/>
        <v>1760395</v>
      </c>
      <c r="J65" s="3498">
        <f t="shared" ref="J65:J72" si="2">F65+E65</f>
        <v>7</v>
      </c>
      <c r="K65" s="3557">
        <v>44434</v>
      </c>
      <c r="L65" s="3557">
        <v>44440</v>
      </c>
      <c r="M65" s="3502" t="s">
        <v>3530</v>
      </c>
      <c r="N65" s="3537" t="s">
        <v>3619</v>
      </c>
      <c r="O65" s="3558" t="s">
        <v>3609</v>
      </c>
      <c r="P65" s="3527">
        <v>44621</v>
      </c>
      <c r="Q65" s="3504" t="s">
        <v>3697</v>
      </c>
      <c r="R65" s="3505">
        <v>3.5000000000000003E-2</v>
      </c>
      <c r="S65" s="3559" t="s">
        <v>3570</v>
      </c>
      <c r="T65" s="3495" t="s">
        <v>3522</v>
      </c>
      <c r="U65" s="3495" t="s">
        <v>3571</v>
      </c>
    </row>
    <row r="66" spans="1:21" s="3560" customFormat="1" ht="33.75" customHeight="1">
      <c r="A66" s="3491">
        <v>64</v>
      </c>
      <c r="B66" s="3494" t="s">
        <v>3698</v>
      </c>
      <c r="C66" s="3504" t="s">
        <v>3699</v>
      </c>
      <c r="D66" s="3561">
        <v>152</v>
      </c>
      <c r="E66" s="3498">
        <v>5.5</v>
      </c>
      <c r="F66" s="3498">
        <v>3</v>
      </c>
      <c r="G66" s="3498">
        <v>305140</v>
      </c>
      <c r="H66" s="3498">
        <v>166440</v>
      </c>
      <c r="I66" s="3498">
        <f t="shared" si="1"/>
        <v>471580</v>
      </c>
      <c r="J66" s="3498">
        <f t="shared" si="2"/>
        <v>8.5</v>
      </c>
      <c r="K66" s="3557">
        <v>44434</v>
      </c>
      <c r="L66" s="3557">
        <v>44440</v>
      </c>
      <c r="M66" s="3502" t="s">
        <v>3530</v>
      </c>
      <c r="N66" s="3537" t="s">
        <v>3626</v>
      </c>
      <c r="O66" s="3558" t="s">
        <v>3598</v>
      </c>
      <c r="P66" s="3527">
        <v>44562</v>
      </c>
      <c r="Q66" s="3556" t="s">
        <v>3700</v>
      </c>
      <c r="R66" s="3505">
        <v>0.06</v>
      </c>
      <c r="S66" s="3559" t="s">
        <v>3570</v>
      </c>
      <c r="T66" s="3495" t="s">
        <v>3522</v>
      </c>
      <c r="U66" s="3495" t="s">
        <v>3522</v>
      </c>
    </row>
    <row r="67" spans="1:21" s="3560" customFormat="1" ht="33.75" customHeight="1">
      <c r="A67" s="3491">
        <v>65</v>
      </c>
      <c r="B67" s="3543" t="s">
        <v>3701</v>
      </c>
      <c r="C67" s="3504" t="s">
        <v>3702</v>
      </c>
      <c r="D67" s="3534">
        <v>403</v>
      </c>
      <c r="E67" s="3498">
        <v>4.5</v>
      </c>
      <c r="F67" s="3498">
        <v>3</v>
      </c>
      <c r="G67" s="3498">
        <v>661927.5</v>
      </c>
      <c r="H67" s="3498">
        <v>441285</v>
      </c>
      <c r="I67" s="3498">
        <f t="shared" si="1"/>
        <v>1103212.5</v>
      </c>
      <c r="J67" s="3498">
        <f t="shared" si="2"/>
        <v>7.5</v>
      </c>
      <c r="K67" s="3557">
        <v>44439</v>
      </c>
      <c r="L67" s="3557">
        <v>44449</v>
      </c>
      <c r="M67" s="3502" t="s">
        <v>3530</v>
      </c>
      <c r="N67" s="3537" t="s">
        <v>3703</v>
      </c>
      <c r="O67" s="3558" t="s">
        <v>3609</v>
      </c>
      <c r="P67" s="3527">
        <v>44630</v>
      </c>
      <c r="Q67" s="3556" t="s">
        <v>3704</v>
      </c>
      <c r="R67" s="3505">
        <v>0.04</v>
      </c>
      <c r="S67" s="3559" t="s">
        <v>3705</v>
      </c>
      <c r="T67" s="3495" t="s">
        <v>3706</v>
      </c>
      <c r="U67" s="3495" t="s">
        <v>3707</v>
      </c>
    </row>
    <row r="68" spans="1:21" s="3560" customFormat="1" ht="33.75" customHeight="1">
      <c r="A68" s="3491">
        <v>66</v>
      </c>
      <c r="B68" s="3543" t="s">
        <v>3708</v>
      </c>
      <c r="C68" s="3504" t="s">
        <v>3709</v>
      </c>
      <c r="D68" s="3534">
        <v>170</v>
      </c>
      <c r="E68" s="3498">
        <v>7</v>
      </c>
      <c r="F68" s="3498">
        <v>3</v>
      </c>
      <c r="G68" s="3498">
        <v>434350</v>
      </c>
      <c r="H68" s="3498">
        <v>186150</v>
      </c>
      <c r="I68" s="3498">
        <f t="shared" si="1"/>
        <v>620500</v>
      </c>
      <c r="J68" s="3498">
        <f t="shared" si="2"/>
        <v>10</v>
      </c>
      <c r="K68" s="3557">
        <v>44449</v>
      </c>
      <c r="L68" s="3493">
        <v>44501</v>
      </c>
      <c r="M68" s="3502" t="s">
        <v>3530</v>
      </c>
      <c r="N68" s="3537" t="s">
        <v>3703</v>
      </c>
      <c r="O68" s="3558" t="s">
        <v>3710</v>
      </c>
      <c r="P68" s="3527">
        <v>44593</v>
      </c>
      <c r="Q68" s="3556" t="s">
        <v>3711</v>
      </c>
      <c r="R68" s="3505">
        <v>7.0000000000000007E-2</v>
      </c>
      <c r="S68" s="3559" t="s">
        <v>3705</v>
      </c>
      <c r="T68" s="3495" t="s">
        <v>3706</v>
      </c>
      <c r="U68" s="3495" t="s">
        <v>3707</v>
      </c>
    </row>
    <row r="69" spans="1:21" s="3560" customFormat="1" ht="33.75" customHeight="1">
      <c r="A69" s="3491">
        <v>67</v>
      </c>
      <c r="B69" s="3496" t="s">
        <v>3712</v>
      </c>
      <c r="C69" s="3504" t="s">
        <v>3713</v>
      </c>
      <c r="D69" s="3534">
        <v>286</v>
      </c>
      <c r="E69" s="3498"/>
      <c r="F69" s="3498">
        <v>9.5</v>
      </c>
      <c r="G69" s="3498">
        <v>0</v>
      </c>
      <c r="H69" s="3498">
        <v>991705</v>
      </c>
      <c r="I69" s="3498">
        <f t="shared" si="1"/>
        <v>991705</v>
      </c>
      <c r="J69" s="3498">
        <f t="shared" si="2"/>
        <v>9.5</v>
      </c>
      <c r="K69" s="3557">
        <v>44455</v>
      </c>
      <c r="L69" s="3557">
        <v>44459</v>
      </c>
      <c r="M69" s="3502" t="s">
        <v>3530</v>
      </c>
      <c r="N69" s="3537" t="s">
        <v>3703</v>
      </c>
      <c r="O69" s="3558" t="s">
        <v>3714</v>
      </c>
      <c r="P69" s="3527">
        <v>44531</v>
      </c>
      <c r="Q69" s="3556" t="s">
        <v>3715</v>
      </c>
      <c r="R69" s="3505">
        <v>0.05</v>
      </c>
      <c r="S69" s="3559" t="s">
        <v>3705</v>
      </c>
      <c r="T69" s="3562" t="s">
        <v>3707</v>
      </c>
      <c r="U69" s="3562" t="s">
        <v>3707</v>
      </c>
    </row>
    <row r="70" spans="1:21" s="3560" customFormat="1" ht="33.75" customHeight="1">
      <c r="A70" s="3491">
        <v>68</v>
      </c>
      <c r="B70" s="3496" t="s">
        <v>3716</v>
      </c>
      <c r="C70" s="3504" t="s">
        <v>3717</v>
      </c>
      <c r="D70" s="3534">
        <v>153</v>
      </c>
      <c r="E70" s="3498">
        <v>10</v>
      </c>
      <c r="F70" s="3498">
        <v>3</v>
      </c>
      <c r="G70" s="3498">
        <v>558450</v>
      </c>
      <c r="H70" s="3498">
        <v>167535</v>
      </c>
      <c r="I70" s="3498">
        <f t="shared" si="1"/>
        <v>725985</v>
      </c>
      <c r="J70" s="3498">
        <f t="shared" si="2"/>
        <v>13</v>
      </c>
      <c r="K70" s="3557">
        <v>44452</v>
      </c>
      <c r="L70" s="3493">
        <v>44470</v>
      </c>
      <c r="M70" s="3502" t="s">
        <v>3530</v>
      </c>
      <c r="N70" s="3537" t="s">
        <v>3619</v>
      </c>
      <c r="O70" s="3558" t="s">
        <v>3530</v>
      </c>
      <c r="P70" s="3527">
        <v>44531</v>
      </c>
      <c r="Q70" s="3556" t="s">
        <v>3718</v>
      </c>
      <c r="R70" s="3505">
        <v>3.3000000000000002E-2</v>
      </c>
      <c r="S70" s="3559" t="s">
        <v>3705</v>
      </c>
      <c r="T70" s="3495" t="s">
        <v>3706</v>
      </c>
      <c r="U70" s="3495" t="s">
        <v>3707</v>
      </c>
    </row>
    <row r="71" spans="1:21" s="3560" customFormat="1" ht="33.75" customHeight="1">
      <c r="A71" s="3491">
        <v>69</v>
      </c>
      <c r="B71" s="3543" t="s">
        <v>3719</v>
      </c>
      <c r="C71" s="3504" t="s">
        <v>3720</v>
      </c>
      <c r="D71" s="3534">
        <v>71</v>
      </c>
      <c r="E71" s="3498">
        <v>10</v>
      </c>
      <c r="F71" s="3498">
        <v>3</v>
      </c>
      <c r="G71" s="3498">
        <v>259150</v>
      </c>
      <c r="H71" s="3498">
        <v>77745</v>
      </c>
      <c r="I71" s="3498">
        <f t="shared" si="1"/>
        <v>336895</v>
      </c>
      <c r="J71" s="3498">
        <f t="shared" si="2"/>
        <v>13</v>
      </c>
      <c r="K71" s="3557">
        <v>44484</v>
      </c>
      <c r="L71" s="3557">
        <v>44501</v>
      </c>
      <c r="M71" s="3502" t="s">
        <v>3530</v>
      </c>
      <c r="N71" s="3537" t="s">
        <v>3626</v>
      </c>
      <c r="O71" s="3558" t="s">
        <v>3721</v>
      </c>
      <c r="P71" s="3527">
        <v>44593</v>
      </c>
      <c r="Q71" s="3556" t="s">
        <v>3722</v>
      </c>
      <c r="R71" s="3505">
        <v>0.03</v>
      </c>
      <c r="S71" s="3559" t="s">
        <v>3705</v>
      </c>
      <c r="T71" s="3495" t="s">
        <v>3706</v>
      </c>
      <c r="U71" s="3495" t="s">
        <v>3707</v>
      </c>
    </row>
    <row r="72" spans="1:21" s="3560" customFormat="1" ht="33.75" customHeight="1">
      <c r="A72" s="3491">
        <v>70</v>
      </c>
      <c r="B72" s="3494" t="s">
        <v>3723</v>
      </c>
      <c r="C72" s="3504" t="s">
        <v>3724</v>
      </c>
      <c r="D72" s="3534">
        <v>809</v>
      </c>
      <c r="E72" s="3498">
        <v>3.8</v>
      </c>
      <c r="F72" s="3498">
        <v>3</v>
      </c>
      <c r="G72" s="3498">
        <v>1122083</v>
      </c>
      <c r="H72" s="3498">
        <v>885855</v>
      </c>
      <c r="I72" s="3498">
        <f t="shared" si="1"/>
        <v>2007938</v>
      </c>
      <c r="J72" s="3498">
        <f t="shared" si="2"/>
        <v>6.8</v>
      </c>
      <c r="K72" s="3557">
        <v>44484</v>
      </c>
      <c r="L72" s="3557">
        <v>44484</v>
      </c>
      <c r="M72" s="3502" t="s">
        <v>3530</v>
      </c>
      <c r="N72" s="3537" t="s">
        <v>3725</v>
      </c>
      <c r="O72" s="3558" t="s">
        <v>3721</v>
      </c>
      <c r="P72" s="3527">
        <v>44593</v>
      </c>
      <c r="Q72" s="3504" t="s">
        <v>3726</v>
      </c>
      <c r="R72" s="3505">
        <v>0.03</v>
      </c>
      <c r="S72" s="3559" t="s">
        <v>3705</v>
      </c>
      <c r="T72" s="3495" t="s">
        <v>3706</v>
      </c>
      <c r="U72" s="3495" t="s">
        <v>3707</v>
      </c>
    </row>
    <row r="73" spans="1:21" s="3560" customFormat="1" ht="33.75" customHeight="1">
      <c r="A73" s="3491">
        <v>71</v>
      </c>
      <c r="B73" s="3543" t="s">
        <v>3727</v>
      </c>
      <c r="C73" s="3504" t="s">
        <v>3728</v>
      </c>
      <c r="D73" s="3534">
        <v>39</v>
      </c>
      <c r="E73" s="3498">
        <v>17</v>
      </c>
      <c r="F73" s="3498">
        <v>3</v>
      </c>
      <c r="G73" s="3498">
        <v>241995</v>
      </c>
      <c r="H73" s="3498">
        <v>42705</v>
      </c>
      <c r="I73" s="3498">
        <f t="shared" si="1"/>
        <v>284700</v>
      </c>
      <c r="J73" s="3498">
        <f>F73+E73</f>
        <v>20</v>
      </c>
      <c r="K73" s="3557">
        <v>44490</v>
      </c>
      <c r="L73" s="3557">
        <v>44501</v>
      </c>
      <c r="M73" s="3502" t="s">
        <v>3530</v>
      </c>
      <c r="N73" s="3537" t="s">
        <v>3729</v>
      </c>
      <c r="O73" s="3558" t="s">
        <v>3530</v>
      </c>
      <c r="P73" s="3527">
        <v>44562</v>
      </c>
      <c r="Q73" s="3494" t="s">
        <v>3730</v>
      </c>
      <c r="R73" s="3491" t="s">
        <v>3731</v>
      </c>
      <c r="S73" s="3559" t="s">
        <v>3705</v>
      </c>
      <c r="T73" s="3495" t="s">
        <v>3706</v>
      </c>
      <c r="U73" s="3495" t="s">
        <v>3706</v>
      </c>
    </row>
    <row r="74" spans="1:21" s="3560" customFormat="1" ht="33.75" customHeight="1">
      <c r="A74" s="3491">
        <v>72</v>
      </c>
      <c r="B74" s="3496" t="s">
        <v>3732</v>
      </c>
      <c r="C74" s="3504" t="s">
        <v>3733</v>
      </c>
      <c r="D74" s="3534">
        <v>116</v>
      </c>
      <c r="E74" s="3498">
        <v>13</v>
      </c>
      <c r="F74" s="3498">
        <v>3</v>
      </c>
      <c r="G74" s="3498">
        <v>550420</v>
      </c>
      <c r="H74" s="3498">
        <v>127020</v>
      </c>
      <c r="I74" s="3498">
        <f t="shared" si="1"/>
        <v>677440</v>
      </c>
      <c r="J74" s="3498">
        <f>F74+E74</f>
        <v>16</v>
      </c>
      <c r="K74" s="3557">
        <v>44501</v>
      </c>
      <c r="L74" s="3557">
        <v>44531</v>
      </c>
      <c r="M74" s="3502" t="s">
        <v>3481</v>
      </c>
      <c r="N74" s="3537" t="s">
        <v>3626</v>
      </c>
      <c r="O74" s="3558" t="s">
        <v>3598</v>
      </c>
      <c r="P74" s="3527">
        <v>44621</v>
      </c>
      <c r="Q74" s="3494" t="s">
        <v>3730</v>
      </c>
      <c r="R74" s="3491" t="s">
        <v>3731</v>
      </c>
      <c r="S74" s="3559" t="s">
        <v>3705</v>
      </c>
      <c r="T74" s="3495" t="s">
        <v>3706</v>
      </c>
      <c r="U74" s="3495" t="s">
        <v>3707</v>
      </c>
    </row>
    <row r="75" spans="1:21" s="3560" customFormat="1" ht="33.75" customHeight="1">
      <c r="A75" s="3491">
        <v>73</v>
      </c>
      <c r="B75" s="3543" t="s">
        <v>3734</v>
      </c>
      <c r="C75" s="3563" t="s">
        <v>3735</v>
      </c>
      <c r="D75" s="3564">
        <v>235</v>
      </c>
      <c r="E75" s="3498">
        <v>5</v>
      </c>
      <c r="F75" s="3498">
        <v>3</v>
      </c>
      <c r="G75" s="3498">
        <v>428875</v>
      </c>
      <c r="H75" s="3498">
        <v>257325</v>
      </c>
      <c r="I75" s="3498">
        <f t="shared" si="1"/>
        <v>686200</v>
      </c>
      <c r="J75" s="3498">
        <f t="shared" ref="J75:J132" si="3">F75+E75</f>
        <v>8</v>
      </c>
      <c r="K75" s="3557">
        <v>44516</v>
      </c>
      <c r="L75" s="3546">
        <v>44531</v>
      </c>
      <c r="M75" s="3502" t="s">
        <v>3530</v>
      </c>
      <c r="N75" s="3537" t="s">
        <v>3619</v>
      </c>
      <c r="O75" s="3558" t="s">
        <v>3714</v>
      </c>
      <c r="P75" s="3493">
        <v>44652</v>
      </c>
      <c r="Q75" s="3504" t="s">
        <v>3736</v>
      </c>
      <c r="R75" s="3505">
        <v>0.03</v>
      </c>
      <c r="S75" s="3559" t="s">
        <v>3705</v>
      </c>
      <c r="T75" s="3495" t="s">
        <v>3706</v>
      </c>
      <c r="U75" s="3495" t="s">
        <v>3706</v>
      </c>
    </row>
    <row r="76" spans="1:21" s="3560" customFormat="1" ht="33.75" customHeight="1">
      <c r="A76" s="3491">
        <v>74</v>
      </c>
      <c r="B76" s="3543" t="s">
        <v>3737</v>
      </c>
      <c r="C76" s="3563" t="s">
        <v>3738</v>
      </c>
      <c r="D76" s="3564">
        <v>106</v>
      </c>
      <c r="E76" s="3498">
        <v>7</v>
      </c>
      <c r="F76" s="3498">
        <v>3</v>
      </c>
      <c r="G76" s="3498">
        <v>270830</v>
      </c>
      <c r="H76" s="3498">
        <v>116070</v>
      </c>
      <c r="I76" s="3498">
        <f t="shared" si="1"/>
        <v>386900</v>
      </c>
      <c r="J76" s="3498">
        <f t="shared" si="3"/>
        <v>10</v>
      </c>
      <c r="K76" s="3557">
        <v>44517</v>
      </c>
      <c r="L76" s="3546">
        <v>44531</v>
      </c>
      <c r="M76" s="3502" t="s">
        <v>3530</v>
      </c>
      <c r="N76" s="3537" t="s">
        <v>3626</v>
      </c>
      <c r="O76" s="3558" t="s">
        <v>3714</v>
      </c>
      <c r="P76" s="3493">
        <v>44652</v>
      </c>
      <c r="Q76" s="3556" t="s">
        <v>3739</v>
      </c>
      <c r="R76" s="3505">
        <v>0.03</v>
      </c>
      <c r="S76" s="3559" t="s">
        <v>3705</v>
      </c>
      <c r="T76" s="3495" t="s">
        <v>3706</v>
      </c>
      <c r="U76" s="3495" t="s">
        <v>3707</v>
      </c>
    </row>
    <row r="77" spans="1:21" s="3560" customFormat="1" ht="33.75" customHeight="1">
      <c r="A77" s="3491">
        <v>75</v>
      </c>
      <c r="B77" s="3543" t="s">
        <v>3740</v>
      </c>
      <c r="C77" s="3563" t="s">
        <v>3741</v>
      </c>
      <c r="D77" s="3564">
        <v>460</v>
      </c>
      <c r="E77" s="3498">
        <v>5</v>
      </c>
      <c r="F77" s="3498">
        <v>3</v>
      </c>
      <c r="G77" s="3498">
        <v>839500</v>
      </c>
      <c r="H77" s="3498">
        <v>503700</v>
      </c>
      <c r="I77" s="3498">
        <f t="shared" si="1"/>
        <v>1343200</v>
      </c>
      <c r="J77" s="3498">
        <f t="shared" si="3"/>
        <v>8</v>
      </c>
      <c r="K77" s="3545">
        <v>44521</v>
      </c>
      <c r="L77" s="3493">
        <v>44531</v>
      </c>
      <c r="M77" s="3502" t="s">
        <v>3530</v>
      </c>
      <c r="N77" s="3537" t="s">
        <v>3742</v>
      </c>
      <c r="O77" s="3491" t="s">
        <v>3743</v>
      </c>
      <c r="P77" s="3493">
        <v>44774</v>
      </c>
      <c r="Q77" s="3494" t="s">
        <v>3744</v>
      </c>
      <c r="R77" s="3505">
        <v>0.1</v>
      </c>
      <c r="S77" s="3559" t="s">
        <v>3570</v>
      </c>
      <c r="T77" s="3495" t="s">
        <v>3522</v>
      </c>
      <c r="U77" s="3495" t="s">
        <v>3571</v>
      </c>
    </row>
    <row r="78" spans="1:21" s="3560" customFormat="1" ht="33.75" customHeight="1">
      <c r="A78" s="3491">
        <v>76</v>
      </c>
      <c r="B78" s="3543" t="s">
        <v>3740</v>
      </c>
      <c r="C78" s="3563" t="s">
        <v>3745</v>
      </c>
      <c r="D78" s="3564">
        <v>179</v>
      </c>
      <c r="E78" s="3498"/>
      <c r="F78" s="3498">
        <v>2.29</v>
      </c>
      <c r="G78" s="3498"/>
      <c r="H78" s="3498">
        <v>150000</v>
      </c>
      <c r="I78" s="3498">
        <f t="shared" si="1"/>
        <v>150000</v>
      </c>
      <c r="J78" s="3498">
        <f t="shared" si="3"/>
        <v>2.29</v>
      </c>
      <c r="K78" s="3545">
        <v>44522</v>
      </c>
      <c r="L78" s="3493">
        <v>44531</v>
      </c>
      <c r="M78" s="3502" t="s">
        <v>3530</v>
      </c>
      <c r="N78" s="3537" t="s">
        <v>3742</v>
      </c>
      <c r="O78" s="3491" t="s">
        <v>3743</v>
      </c>
      <c r="P78" s="3493">
        <v>44774</v>
      </c>
      <c r="Q78" s="3494" t="s">
        <v>3641</v>
      </c>
      <c r="R78" s="3491" t="s">
        <v>3642</v>
      </c>
      <c r="S78" s="3559" t="s">
        <v>3570</v>
      </c>
      <c r="T78" s="3562" t="s">
        <v>3571</v>
      </c>
      <c r="U78" s="3562" t="s">
        <v>3571</v>
      </c>
    </row>
    <row r="79" spans="1:21" s="3560" customFormat="1" ht="33.75" customHeight="1">
      <c r="A79" s="3491">
        <v>77</v>
      </c>
      <c r="B79" s="3565" t="s">
        <v>3746</v>
      </c>
      <c r="C79" s="3563" t="s">
        <v>3747</v>
      </c>
      <c r="D79" s="3564">
        <v>166</v>
      </c>
      <c r="E79" s="3498"/>
      <c r="F79" s="3498">
        <v>2.96</v>
      </c>
      <c r="G79" s="3498"/>
      <c r="H79" s="3498">
        <v>179280</v>
      </c>
      <c r="I79" s="3498">
        <f t="shared" si="1"/>
        <v>179280</v>
      </c>
      <c r="J79" s="3498">
        <f t="shared" si="3"/>
        <v>2.96</v>
      </c>
      <c r="K79" s="3557">
        <v>44501</v>
      </c>
      <c r="L79" s="3493">
        <v>44501</v>
      </c>
      <c r="M79" s="3502" t="s">
        <v>3534</v>
      </c>
      <c r="N79" s="3537" t="s">
        <v>3748</v>
      </c>
      <c r="O79" s="3558" t="s">
        <v>3598</v>
      </c>
      <c r="P79" s="3493">
        <v>44591</v>
      </c>
      <c r="Q79" s="3494" t="s">
        <v>3749</v>
      </c>
      <c r="R79" s="3562"/>
      <c r="S79" s="3559" t="s">
        <v>3570</v>
      </c>
      <c r="T79" s="3495" t="s">
        <v>3522</v>
      </c>
      <c r="U79" s="3495" t="s">
        <v>3522</v>
      </c>
    </row>
    <row r="80" spans="1:21" s="3560" customFormat="1" ht="33.75" customHeight="1">
      <c r="A80" s="3491">
        <v>78</v>
      </c>
      <c r="B80" s="3565" t="s">
        <v>3750</v>
      </c>
      <c r="C80" s="3563" t="s">
        <v>3751</v>
      </c>
      <c r="D80" s="3564">
        <v>118</v>
      </c>
      <c r="E80" s="3498">
        <v>7</v>
      </c>
      <c r="F80" s="3498">
        <v>3</v>
      </c>
      <c r="G80" s="3498">
        <v>301490</v>
      </c>
      <c r="H80" s="3498">
        <v>127440</v>
      </c>
      <c r="I80" s="3498">
        <f t="shared" ref="I80:I94" si="4">G80+H80</f>
        <v>428930</v>
      </c>
      <c r="J80" s="3498">
        <f t="shared" si="3"/>
        <v>10</v>
      </c>
      <c r="K80" s="3557">
        <v>44501</v>
      </c>
      <c r="L80" s="3493">
        <v>44561</v>
      </c>
      <c r="M80" s="3502" t="s">
        <v>3534</v>
      </c>
      <c r="N80" s="3537" t="s">
        <v>3748</v>
      </c>
      <c r="O80" s="3558" t="s">
        <v>3598</v>
      </c>
      <c r="P80" s="3493">
        <v>44651</v>
      </c>
      <c r="Q80" s="3494" t="s">
        <v>3752</v>
      </c>
      <c r="R80" s="3562"/>
      <c r="S80" s="3559" t="s">
        <v>3570</v>
      </c>
      <c r="T80" s="3495" t="s">
        <v>3522</v>
      </c>
      <c r="U80" s="3495" t="s">
        <v>3522</v>
      </c>
    </row>
    <row r="81" spans="1:21" s="3560" customFormat="1" ht="33.75" customHeight="1">
      <c r="A81" s="3491">
        <v>79</v>
      </c>
      <c r="B81" s="3565" t="s">
        <v>3753</v>
      </c>
      <c r="C81" s="3563" t="s">
        <v>3754</v>
      </c>
      <c r="D81" s="3564">
        <v>240</v>
      </c>
      <c r="E81" s="3498"/>
      <c r="F81" s="3498">
        <v>3</v>
      </c>
      <c r="G81" s="3498"/>
      <c r="H81" s="3498">
        <v>259200</v>
      </c>
      <c r="I81" s="3498">
        <f t="shared" si="4"/>
        <v>259200</v>
      </c>
      <c r="J81" s="3498">
        <f t="shared" si="3"/>
        <v>3</v>
      </c>
      <c r="K81" s="3557">
        <v>44501</v>
      </c>
      <c r="L81" s="3493">
        <v>44561</v>
      </c>
      <c r="M81" s="3502" t="s">
        <v>3534</v>
      </c>
      <c r="N81" s="3537" t="s">
        <v>3755</v>
      </c>
      <c r="O81" s="3558" t="s">
        <v>3598</v>
      </c>
      <c r="P81" s="3493">
        <v>44651</v>
      </c>
      <c r="Q81" s="3494" t="s">
        <v>3756</v>
      </c>
      <c r="R81" s="3562"/>
      <c r="S81" s="3559" t="s">
        <v>3570</v>
      </c>
      <c r="T81" s="3495" t="s">
        <v>3522</v>
      </c>
      <c r="U81" s="3495" t="s">
        <v>3522</v>
      </c>
    </row>
    <row r="82" spans="1:21" s="3560" customFormat="1" ht="33.75" customHeight="1">
      <c r="A82" s="3491">
        <v>80</v>
      </c>
      <c r="B82" s="3565" t="s">
        <v>3757</v>
      </c>
      <c r="C82" s="3563" t="s">
        <v>3758</v>
      </c>
      <c r="D82" s="3564">
        <v>321</v>
      </c>
      <c r="E82" s="3498">
        <v>5.5</v>
      </c>
      <c r="F82" s="3498">
        <v>3</v>
      </c>
      <c r="G82" s="3498">
        <v>644407.5</v>
      </c>
      <c r="H82" s="3498">
        <v>351495</v>
      </c>
      <c r="I82" s="3498">
        <f t="shared" si="4"/>
        <v>995902.5</v>
      </c>
      <c r="J82" s="3498">
        <f t="shared" si="3"/>
        <v>8.5</v>
      </c>
      <c r="K82" s="3557">
        <v>44547</v>
      </c>
      <c r="L82" s="3493">
        <v>44545</v>
      </c>
      <c r="M82" s="3502" t="s">
        <v>3609</v>
      </c>
      <c r="N82" s="3537" t="s">
        <v>3619</v>
      </c>
      <c r="O82" s="3558" t="s">
        <v>3653</v>
      </c>
      <c r="P82" s="3546">
        <v>44743</v>
      </c>
      <c r="Q82" s="3504" t="s">
        <v>3759</v>
      </c>
      <c r="R82" s="3505">
        <v>0.03</v>
      </c>
      <c r="S82" s="3559" t="s">
        <v>3570</v>
      </c>
      <c r="T82" s="3495" t="s">
        <v>3522</v>
      </c>
      <c r="U82" s="3495" t="s">
        <v>3571</v>
      </c>
    </row>
    <row r="83" spans="1:21" s="3560" customFormat="1" ht="42.75" customHeight="1">
      <c r="A83" s="3491">
        <v>81</v>
      </c>
      <c r="B83" s="3547" t="s">
        <v>3760</v>
      </c>
      <c r="C83" s="3563" t="s">
        <v>3761</v>
      </c>
      <c r="D83" s="3564">
        <v>171</v>
      </c>
      <c r="E83" s="3498">
        <v>9</v>
      </c>
      <c r="F83" s="3498">
        <v>3</v>
      </c>
      <c r="G83" s="3498">
        <v>561735</v>
      </c>
      <c r="H83" s="3498">
        <v>187245</v>
      </c>
      <c r="I83" s="3498">
        <f t="shared" si="4"/>
        <v>748980</v>
      </c>
      <c r="J83" s="3498">
        <f t="shared" si="3"/>
        <v>12</v>
      </c>
      <c r="K83" s="3557">
        <v>44560</v>
      </c>
      <c r="L83" s="3493">
        <v>44562</v>
      </c>
      <c r="M83" s="3502" t="s">
        <v>3530</v>
      </c>
      <c r="N83" s="3537" t="s">
        <v>3619</v>
      </c>
      <c r="O83" s="3558" t="s">
        <v>3569</v>
      </c>
      <c r="P83" s="3546">
        <v>44682</v>
      </c>
      <c r="Q83" s="3494" t="s">
        <v>3762</v>
      </c>
      <c r="R83" s="3505">
        <v>0.03</v>
      </c>
      <c r="S83" s="3559" t="s">
        <v>3570</v>
      </c>
      <c r="T83" s="3495" t="s">
        <v>3522</v>
      </c>
      <c r="U83" s="3495" t="s">
        <v>3571</v>
      </c>
    </row>
    <row r="84" spans="1:21" s="3560" customFormat="1" ht="33.75" customHeight="1">
      <c r="A84" s="3491">
        <v>82</v>
      </c>
      <c r="B84" s="3565" t="s">
        <v>3763</v>
      </c>
      <c r="C84" s="3563"/>
      <c r="D84" s="3564">
        <v>166</v>
      </c>
      <c r="E84" s="3498"/>
      <c r="F84" s="3498">
        <v>5</v>
      </c>
      <c r="G84" s="3498"/>
      <c r="H84" s="3498">
        <v>302950</v>
      </c>
      <c r="I84" s="3498">
        <f t="shared" si="4"/>
        <v>302950</v>
      </c>
      <c r="J84" s="3498">
        <f t="shared" si="3"/>
        <v>5</v>
      </c>
      <c r="K84" s="3557">
        <v>44560</v>
      </c>
      <c r="L84" s="3493">
        <v>44562</v>
      </c>
      <c r="M84" s="3502" t="s">
        <v>3530</v>
      </c>
      <c r="N84" s="3537" t="s">
        <v>3626</v>
      </c>
      <c r="O84" s="3558" t="s">
        <v>3575</v>
      </c>
      <c r="P84" s="3546">
        <v>44652</v>
      </c>
      <c r="Q84" s="3494" t="s">
        <v>3764</v>
      </c>
      <c r="R84" s="3505">
        <v>0.1</v>
      </c>
      <c r="S84" s="3559" t="s">
        <v>3570</v>
      </c>
      <c r="T84" s="3562" t="s">
        <v>3571</v>
      </c>
      <c r="U84" s="3562" t="s">
        <v>3571</v>
      </c>
    </row>
    <row r="85" spans="1:21" s="3560" customFormat="1" ht="33.75" customHeight="1">
      <c r="A85" s="3491">
        <v>83</v>
      </c>
      <c r="B85" s="3543" t="s">
        <v>3765</v>
      </c>
      <c r="C85" s="3540" t="s">
        <v>3766</v>
      </c>
      <c r="D85" s="3564">
        <v>23</v>
      </c>
      <c r="E85" s="3541">
        <v>19</v>
      </c>
      <c r="F85" s="3541">
        <v>3</v>
      </c>
      <c r="G85" s="3541">
        <v>159505</v>
      </c>
      <c r="H85" s="3541">
        <v>25185</v>
      </c>
      <c r="I85" s="3498">
        <f t="shared" si="4"/>
        <v>184690</v>
      </c>
      <c r="J85" s="3498">
        <f t="shared" si="3"/>
        <v>22</v>
      </c>
      <c r="K85" s="3557">
        <v>44558</v>
      </c>
      <c r="L85" s="3493">
        <v>44562</v>
      </c>
      <c r="M85" s="3502" t="s">
        <v>3530</v>
      </c>
      <c r="N85" s="3537" t="s">
        <v>3626</v>
      </c>
      <c r="O85" s="3558" t="s">
        <v>3575</v>
      </c>
      <c r="P85" s="3546">
        <v>44652</v>
      </c>
      <c r="Q85" s="3494" t="s">
        <v>3641</v>
      </c>
      <c r="R85" s="3491" t="s">
        <v>3642</v>
      </c>
      <c r="S85" s="3559" t="s">
        <v>3570</v>
      </c>
      <c r="T85" s="3495" t="s">
        <v>3522</v>
      </c>
      <c r="U85" s="3495" t="s">
        <v>3522</v>
      </c>
    </row>
    <row r="86" spans="1:21" s="3560" customFormat="1" ht="33.75" customHeight="1">
      <c r="A86" s="3491">
        <v>84</v>
      </c>
      <c r="B86" s="3565" t="s">
        <v>3767</v>
      </c>
      <c r="C86" s="3563" t="s">
        <v>3768</v>
      </c>
      <c r="D86" s="3564">
        <v>97</v>
      </c>
      <c r="E86" s="3498">
        <v>14</v>
      </c>
      <c r="F86" s="3498">
        <v>3</v>
      </c>
      <c r="G86" s="3541">
        <v>495670</v>
      </c>
      <c r="H86" s="3541">
        <v>106215</v>
      </c>
      <c r="I86" s="3498">
        <f t="shared" si="4"/>
        <v>601885</v>
      </c>
      <c r="J86" s="3498">
        <f t="shared" si="3"/>
        <v>17</v>
      </c>
      <c r="K86" s="3557">
        <v>44664</v>
      </c>
      <c r="L86" s="3493">
        <v>44682</v>
      </c>
      <c r="M86" s="3502" t="s">
        <v>3609</v>
      </c>
      <c r="N86" s="3537" t="s">
        <v>3769</v>
      </c>
      <c r="O86" s="3558" t="s">
        <v>3587</v>
      </c>
      <c r="P86" s="3546">
        <v>44688</v>
      </c>
      <c r="Q86" s="3504" t="s">
        <v>3770</v>
      </c>
      <c r="R86" s="3505">
        <v>0.03</v>
      </c>
      <c r="S86" s="3559" t="s">
        <v>3570</v>
      </c>
      <c r="T86" s="3495" t="s">
        <v>3522</v>
      </c>
      <c r="U86" s="3495" t="s">
        <v>3522</v>
      </c>
    </row>
    <row r="87" spans="1:21" s="3560" customFormat="1" ht="33.75" customHeight="1">
      <c r="A87" s="3491">
        <v>85</v>
      </c>
      <c r="B87" s="3565" t="s">
        <v>3771</v>
      </c>
      <c r="C87" s="3563" t="s">
        <v>3772</v>
      </c>
      <c r="D87" s="3564">
        <v>4</v>
      </c>
      <c r="E87" s="3498"/>
      <c r="F87" s="3498"/>
      <c r="G87" s="3498"/>
      <c r="H87" s="3498">
        <v>15600</v>
      </c>
      <c r="I87" s="3498">
        <f t="shared" si="4"/>
        <v>15600</v>
      </c>
      <c r="J87" s="3498">
        <f t="shared" si="3"/>
        <v>0</v>
      </c>
      <c r="K87" s="3557">
        <v>44567</v>
      </c>
      <c r="L87" s="3493">
        <v>44571</v>
      </c>
      <c r="M87" s="3502">
        <v>6</v>
      </c>
      <c r="N87" s="3491">
        <v>1</v>
      </c>
      <c r="O87" s="3558" t="s">
        <v>3773</v>
      </c>
      <c r="P87" s="3546">
        <v>44571</v>
      </c>
      <c r="Q87" s="3494"/>
      <c r="R87" s="3562"/>
      <c r="S87" s="3559" t="s">
        <v>3570</v>
      </c>
      <c r="T87" s="3562" t="s">
        <v>3571</v>
      </c>
      <c r="U87" s="3562" t="s">
        <v>3571</v>
      </c>
    </row>
    <row r="88" spans="1:21" s="3560" customFormat="1" ht="33.75" customHeight="1">
      <c r="A88" s="3491">
        <v>86</v>
      </c>
      <c r="B88" s="3543" t="s">
        <v>3774</v>
      </c>
      <c r="C88" s="3563" t="s">
        <v>3775</v>
      </c>
      <c r="D88" s="3564">
        <v>60</v>
      </c>
      <c r="E88" s="3498">
        <v>17</v>
      </c>
      <c r="F88" s="3498">
        <v>3</v>
      </c>
      <c r="G88" s="3498">
        <v>372300</v>
      </c>
      <c r="H88" s="3498">
        <v>65700</v>
      </c>
      <c r="I88" s="3498">
        <f t="shared" si="4"/>
        <v>438000</v>
      </c>
      <c r="J88" s="3498">
        <f t="shared" si="3"/>
        <v>20</v>
      </c>
      <c r="K88" s="3557">
        <v>44575</v>
      </c>
      <c r="L88" s="3493">
        <v>44579</v>
      </c>
      <c r="M88" s="3502" t="s">
        <v>3530</v>
      </c>
      <c r="N88" s="3537" t="s">
        <v>3619</v>
      </c>
      <c r="O88" s="3558" t="s">
        <v>3776</v>
      </c>
      <c r="P88" s="3546">
        <v>44730</v>
      </c>
      <c r="Q88" s="3494" t="s">
        <v>3777</v>
      </c>
      <c r="R88" s="3505">
        <v>0.03</v>
      </c>
      <c r="S88" s="3559" t="s">
        <v>3570</v>
      </c>
      <c r="T88" s="3495" t="s">
        <v>3522</v>
      </c>
      <c r="U88" s="3495" t="s">
        <v>3571</v>
      </c>
    </row>
    <row r="89" spans="1:21" s="3560" customFormat="1" ht="33.75" customHeight="1">
      <c r="A89" s="3491">
        <v>87</v>
      </c>
      <c r="B89" s="3565" t="s">
        <v>3778</v>
      </c>
      <c r="C89" s="3563" t="s">
        <v>3779</v>
      </c>
      <c r="D89" s="3564">
        <v>132</v>
      </c>
      <c r="E89" s="3498"/>
      <c r="F89" s="3498">
        <v>5</v>
      </c>
      <c r="G89" s="3498"/>
      <c r="H89" s="3498">
        <v>240900</v>
      </c>
      <c r="I89" s="3498">
        <f t="shared" si="4"/>
        <v>240900</v>
      </c>
      <c r="J89" s="3498">
        <f t="shared" si="3"/>
        <v>5</v>
      </c>
      <c r="K89" s="3557">
        <v>44575</v>
      </c>
      <c r="L89" s="3493">
        <v>44592</v>
      </c>
      <c r="M89" s="3502" t="s">
        <v>3530</v>
      </c>
      <c r="N89" s="3537" t="s">
        <v>3626</v>
      </c>
      <c r="O89" s="3558" t="s">
        <v>3569</v>
      </c>
      <c r="P89" s="3546">
        <v>44743</v>
      </c>
      <c r="Q89" s="3494" t="s">
        <v>3780</v>
      </c>
      <c r="R89" s="3505">
        <v>0.1</v>
      </c>
      <c r="S89" s="3559" t="s">
        <v>3570</v>
      </c>
      <c r="T89" s="3562" t="s">
        <v>3571</v>
      </c>
      <c r="U89" s="3562" t="s">
        <v>3571</v>
      </c>
    </row>
    <row r="90" spans="1:21" s="3560" customFormat="1" ht="33.75" customHeight="1">
      <c r="A90" s="3491">
        <v>88</v>
      </c>
      <c r="B90" s="3543" t="s">
        <v>3781</v>
      </c>
      <c r="C90" s="3563" t="s">
        <v>3782</v>
      </c>
      <c r="D90" s="3564">
        <v>365</v>
      </c>
      <c r="E90" s="3498">
        <v>6</v>
      </c>
      <c r="F90" s="3498">
        <v>3</v>
      </c>
      <c r="G90" s="3498">
        <v>799350</v>
      </c>
      <c r="H90" s="3498">
        <v>399675</v>
      </c>
      <c r="I90" s="3498">
        <f t="shared" si="4"/>
        <v>1199025</v>
      </c>
      <c r="J90" s="3498">
        <f t="shared" si="3"/>
        <v>9</v>
      </c>
      <c r="K90" s="3557">
        <v>44577</v>
      </c>
      <c r="L90" s="3493">
        <v>44581</v>
      </c>
      <c r="M90" s="3502" t="s">
        <v>3530</v>
      </c>
      <c r="N90" s="3537" t="s">
        <v>3742</v>
      </c>
      <c r="O90" s="3558" t="s">
        <v>3776</v>
      </c>
      <c r="P90" s="3546">
        <v>44774</v>
      </c>
      <c r="Q90" s="3494" t="s">
        <v>3783</v>
      </c>
      <c r="R90" s="3505">
        <v>0.03</v>
      </c>
      <c r="S90" s="3559" t="s">
        <v>3570</v>
      </c>
      <c r="T90" s="3495" t="s">
        <v>3522</v>
      </c>
      <c r="U90" s="3495" t="s">
        <v>3571</v>
      </c>
    </row>
    <row r="91" spans="1:21" s="3560" customFormat="1" ht="33.75" customHeight="1">
      <c r="A91" s="3491">
        <v>89</v>
      </c>
      <c r="B91" s="3543" t="s">
        <v>3784</v>
      </c>
      <c r="C91" s="3540" t="s">
        <v>3785</v>
      </c>
      <c r="D91" s="3550">
        <v>130</v>
      </c>
      <c r="E91" s="3541"/>
      <c r="F91" s="3541">
        <v>5</v>
      </c>
      <c r="G91" s="3541"/>
      <c r="H91" s="3541">
        <v>237250</v>
      </c>
      <c r="I91" s="3498">
        <f t="shared" si="4"/>
        <v>237250</v>
      </c>
      <c r="J91" s="3498">
        <f t="shared" si="3"/>
        <v>5</v>
      </c>
      <c r="K91" s="3545">
        <v>44589</v>
      </c>
      <c r="L91" s="3546">
        <v>44593</v>
      </c>
      <c r="M91" s="3502" t="s">
        <v>3530</v>
      </c>
      <c r="N91" s="3537" t="s">
        <v>3626</v>
      </c>
      <c r="O91" s="3558" t="s">
        <v>3569</v>
      </c>
      <c r="P91" s="3546">
        <v>44713</v>
      </c>
      <c r="Q91" s="3494" t="s">
        <v>3786</v>
      </c>
      <c r="R91" s="3505">
        <v>0.03</v>
      </c>
      <c r="S91" s="3559" t="s">
        <v>3570</v>
      </c>
      <c r="T91" s="3562" t="s">
        <v>3571</v>
      </c>
      <c r="U91" s="3562" t="s">
        <v>3571</v>
      </c>
    </row>
    <row r="92" spans="1:21" s="3560" customFormat="1" ht="33.75" customHeight="1">
      <c r="A92" s="3491">
        <v>90</v>
      </c>
      <c r="B92" s="3543" t="s">
        <v>3787</v>
      </c>
      <c r="C92" s="3540" t="s">
        <v>3788</v>
      </c>
      <c r="D92" s="3550">
        <v>75</v>
      </c>
      <c r="E92" s="3541">
        <v>10.15</v>
      </c>
      <c r="F92" s="3541">
        <v>3</v>
      </c>
      <c r="G92" s="3541">
        <v>277875</v>
      </c>
      <c r="H92" s="3541">
        <v>82125</v>
      </c>
      <c r="I92" s="3498">
        <f t="shared" si="4"/>
        <v>360000</v>
      </c>
      <c r="J92" s="3498">
        <f t="shared" si="3"/>
        <v>13.15</v>
      </c>
      <c r="K92" s="3545">
        <v>44586</v>
      </c>
      <c r="L92" s="3546">
        <v>44593</v>
      </c>
      <c r="M92" s="3502" t="s">
        <v>3530</v>
      </c>
      <c r="N92" s="3537" t="s">
        <v>3626</v>
      </c>
      <c r="O92" s="3558" t="s">
        <v>3575</v>
      </c>
      <c r="P92" s="3546">
        <v>44682</v>
      </c>
      <c r="Q92" s="3494" t="s">
        <v>3641</v>
      </c>
      <c r="R92" s="3491" t="s">
        <v>3642</v>
      </c>
      <c r="S92" s="3559" t="s">
        <v>3570</v>
      </c>
      <c r="T92" s="3495" t="s">
        <v>3522</v>
      </c>
      <c r="U92" s="3495" t="s">
        <v>3571</v>
      </c>
    </row>
    <row r="93" spans="1:21" s="3560" customFormat="1" ht="33.75" customHeight="1">
      <c r="A93" s="3491">
        <v>91</v>
      </c>
      <c r="B93" s="3543" t="s">
        <v>3789</v>
      </c>
      <c r="C93" s="3540" t="s">
        <v>3790</v>
      </c>
      <c r="D93" s="3550">
        <v>187</v>
      </c>
      <c r="E93" s="3541">
        <v>9</v>
      </c>
      <c r="F93" s="3541">
        <v>3</v>
      </c>
      <c r="G93" s="3541">
        <v>614295</v>
      </c>
      <c r="H93" s="3541">
        <v>204765</v>
      </c>
      <c r="I93" s="3498">
        <f t="shared" si="4"/>
        <v>819060</v>
      </c>
      <c r="J93" s="3498">
        <f t="shared" si="3"/>
        <v>12</v>
      </c>
      <c r="K93" s="3545">
        <v>44587</v>
      </c>
      <c r="L93" s="3546">
        <v>44602</v>
      </c>
      <c r="M93" s="3502" t="s">
        <v>3530</v>
      </c>
      <c r="N93" s="3537" t="s">
        <v>3626</v>
      </c>
      <c r="O93" s="3558" t="s">
        <v>3587</v>
      </c>
      <c r="P93" s="3546">
        <v>44713</v>
      </c>
      <c r="Q93" s="3504" t="s">
        <v>3791</v>
      </c>
      <c r="R93" s="3505">
        <v>0.08</v>
      </c>
      <c r="S93" s="3559" t="s">
        <v>3570</v>
      </c>
      <c r="T93" s="3495" t="s">
        <v>3522</v>
      </c>
      <c r="U93" s="3495" t="s">
        <v>3571</v>
      </c>
    </row>
    <row r="94" spans="1:21" s="3560" customFormat="1" ht="33.75" customHeight="1">
      <c r="A94" s="3491">
        <v>92</v>
      </c>
      <c r="B94" s="3543" t="s">
        <v>3792</v>
      </c>
      <c r="C94" s="3540" t="s">
        <v>3793</v>
      </c>
      <c r="D94" s="3550">
        <v>192</v>
      </c>
      <c r="E94" s="3541"/>
      <c r="F94" s="3541">
        <v>5</v>
      </c>
      <c r="G94" s="3541"/>
      <c r="H94" s="3541">
        <v>350400</v>
      </c>
      <c r="I94" s="3498">
        <f t="shared" si="4"/>
        <v>350400</v>
      </c>
      <c r="J94" s="3498">
        <f t="shared" si="3"/>
        <v>5</v>
      </c>
      <c r="K94" s="3545">
        <v>44587</v>
      </c>
      <c r="L94" s="3545">
        <v>44587</v>
      </c>
      <c r="M94" s="3502" t="s">
        <v>3530</v>
      </c>
      <c r="N94" s="3537" t="s">
        <v>3626</v>
      </c>
      <c r="O94" s="3558" t="s">
        <v>3575</v>
      </c>
      <c r="P94" s="3546">
        <v>44682</v>
      </c>
      <c r="Q94" s="3494" t="s">
        <v>3764</v>
      </c>
      <c r="R94" s="3505">
        <v>0.1</v>
      </c>
      <c r="S94" s="3559" t="s">
        <v>3570</v>
      </c>
      <c r="T94" s="3562" t="s">
        <v>3571</v>
      </c>
      <c r="U94" s="3562" t="s">
        <v>3571</v>
      </c>
    </row>
    <row r="95" spans="1:21" s="3560" customFormat="1" ht="33.75" customHeight="1">
      <c r="A95" s="3491">
        <v>93</v>
      </c>
      <c r="B95" s="3543" t="s">
        <v>3794</v>
      </c>
      <c r="C95" s="3566" t="s">
        <v>3795</v>
      </c>
      <c r="D95" s="3550">
        <v>129</v>
      </c>
      <c r="E95" s="3498"/>
      <c r="F95" s="3541">
        <v>5</v>
      </c>
      <c r="G95" s="3498"/>
      <c r="H95" s="3541">
        <v>235425</v>
      </c>
      <c r="I95" s="3498">
        <f>G95+H95</f>
        <v>235425</v>
      </c>
      <c r="J95" s="3498">
        <f t="shared" si="3"/>
        <v>5</v>
      </c>
      <c r="K95" s="3545">
        <v>44617</v>
      </c>
      <c r="L95" s="3493">
        <v>44621</v>
      </c>
      <c r="M95" s="3502" t="s">
        <v>3530</v>
      </c>
      <c r="N95" s="3537" t="s">
        <v>3626</v>
      </c>
      <c r="O95" s="3558" t="s">
        <v>3575</v>
      </c>
      <c r="P95" s="3546">
        <v>44713</v>
      </c>
      <c r="Q95" s="3494" t="s">
        <v>3786</v>
      </c>
      <c r="R95" s="3505">
        <v>0.03</v>
      </c>
      <c r="S95" s="3559" t="s">
        <v>3570</v>
      </c>
      <c r="T95" s="3562" t="s">
        <v>3571</v>
      </c>
      <c r="U95" s="3562" t="s">
        <v>3571</v>
      </c>
    </row>
    <row r="96" spans="1:21" s="3560" customFormat="1" ht="33.75" customHeight="1">
      <c r="A96" s="3491">
        <v>94</v>
      </c>
      <c r="B96" s="3543" t="s">
        <v>3796</v>
      </c>
      <c r="C96" s="3566" t="s">
        <v>3797</v>
      </c>
      <c r="D96" s="3550">
        <v>152</v>
      </c>
      <c r="E96" s="3498">
        <v>5.5</v>
      </c>
      <c r="F96" s="3541">
        <v>3</v>
      </c>
      <c r="G96" s="3541">
        <v>305140</v>
      </c>
      <c r="H96" s="3541">
        <v>166440</v>
      </c>
      <c r="I96" s="3498">
        <f>G96+H96</f>
        <v>471580</v>
      </c>
      <c r="J96" s="3498">
        <f t="shared" si="3"/>
        <v>8.5</v>
      </c>
      <c r="K96" s="3545">
        <v>44620</v>
      </c>
      <c r="L96" s="3493">
        <v>44621</v>
      </c>
      <c r="M96" s="3502" t="s">
        <v>3530</v>
      </c>
      <c r="N96" s="3537" t="s">
        <v>3742</v>
      </c>
      <c r="O96" s="3558" t="s">
        <v>3569</v>
      </c>
      <c r="P96" s="3546">
        <v>44743</v>
      </c>
      <c r="Q96" s="3494" t="s">
        <v>3798</v>
      </c>
      <c r="R96" s="3505">
        <v>0.03</v>
      </c>
      <c r="S96" s="3559" t="s">
        <v>3570</v>
      </c>
      <c r="T96" s="3495" t="s">
        <v>3522</v>
      </c>
      <c r="U96" s="3495" t="s">
        <v>3571</v>
      </c>
    </row>
    <row r="97" spans="1:21" s="3560" customFormat="1" ht="33.75" customHeight="1">
      <c r="A97" s="3491">
        <v>95</v>
      </c>
      <c r="B97" s="3543" t="s">
        <v>3799</v>
      </c>
      <c r="C97" s="3544" t="s">
        <v>3800</v>
      </c>
      <c r="D97" s="3550">
        <v>62</v>
      </c>
      <c r="E97" s="3498"/>
      <c r="F97" s="3541">
        <f>17.3+5</f>
        <v>22.3</v>
      </c>
      <c r="G97" s="3498"/>
      <c r="H97" s="3541">
        <f>360000+9120</f>
        <v>369120</v>
      </c>
      <c r="I97" s="3498">
        <f>G97+H97</f>
        <v>369120</v>
      </c>
      <c r="J97" s="3498">
        <f t="shared" si="3"/>
        <v>22.3</v>
      </c>
      <c r="K97" s="3545">
        <v>44624</v>
      </c>
      <c r="L97" s="3493">
        <v>44635</v>
      </c>
      <c r="M97" s="3502" t="s">
        <v>3530</v>
      </c>
      <c r="N97" s="3537" t="s">
        <v>3769</v>
      </c>
      <c r="O97" s="3567" t="s">
        <v>3801</v>
      </c>
      <c r="P97" s="3546">
        <v>44713</v>
      </c>
      <c r="Q97" s="3494" t="s">
        <v>3802</v>
      </c>
      <c r="R97" s="3505">
        <v>0.02</v>
      </c>
      <c r="S97" s="3559" t="s">
        <v>3570</v>
      </c>
      <c r="T97" s="3562" t="s">
        <v>3571</v>
      </c>
      <c r="U97" s="3562" t="s">
        <v>3571</v>
      </c>
    </row>
    <row r="98" spans="1:21" s="3560" customFormat="1" ht="33.75" customHeight="1">
      <c r="A98" s="3491">
        <v>96</v>
      </c>
      <c r="B98" s="3543" t="s">
        <v>3803</v>
      </c>
      <c r="C98" s="3544" t="s">
        <v>3804</v>
      </c>
      <c r="D98" s="3550">
        <v>53</v>
      </c>
      <c r="E98" s="3498"/>
      <c r="F98" s="3498">
        <v>12.41</v>
      </c>
      <c r="G98" s="3498"/>
      <c r="H98" s="3498">
        <v>240000</v>
      </c>
      <c r="I98" s="3498">
        <f>G98+H98</f>
        <v>240000</v>
      </c>
      <c r="J98" s="3498">
        <f t="shared" si="3"/>
        <v>12.41</v>
      </c>
      <c r="K98" s="3545">
        <v>44628</v>
      </c>
      <c r="L98" s="3493">
        <v>44635</v>
      </c>
      <c r="M98" s="3502" t="s">
        <v>3530</v>
      </c>
      <c r="N98" s="3537" t="s">
        <v>3626</v>
      </c>
      <c r="O98" s="3567" t="s">
        <v>3805</v>
      </c>
      <c r="P98" s="3546">
        <v>44774</v>
      </c>
      <c r="Q98" s="3494" t="s">
        <v>3806</v>
      </c>
      <c r="R98" s="3505">
        <v>0.1</v>
      </c>
      <c r="S98" s="3559" t="s">
        <v>3570</v>
      </c>
      <c r="T98" s="3562" t="s">
        <v>3571</v>
      </c>
      <c r="U98" s="3562" t="s">
        <v>3571</v>
      </c>
    </row>
    <row r="99" spans="1:21" s="3560" customFormat="1" ht="33.75" customHeight="1">
      <c r="A99" s="3491">
        <v>97</v>
      </c>
      <c r="B99" s="3543" t="s">
        <v>3807</v>
      </c>
      <c r="C99" s="3566" t="s">
        <v>3808</v>
      </c>
      <c r="D99" s="3564">
        <v>25</v>
      </c>
      <c r="E99" s="3498"/>
      <c r="F99" s="3498"/>
      <c r="G99" s="3498"/>
      <c r="H99" s="3498"/>
      <c r="I99" s="3498" t="s">
        <v>3809</v>
      </c>
      <c r="J99" s="3498">
        <f t="shared" si="3"/>
        <v>0</v>
      </c>
      <c r="K99" s="3545">
        <v>44631</v>
      </c>
      <c r="L99" s="3568">
        <v>44635</v>
      </c>
      <c r="M99" s="3502" t="s">
        <v>3534</v>
      </c>
      <c r="N99" s="3491" t="s">
        <v>3810</v>
      </c>
      <c r="O99" s="3558"/>
      <c r="P99" s="3546">
        <v>44743</v>
      </c>
      <c r="Q99" s="3494" t="s">
        <v>3811</v>
      </c>
      <c r="R99" s="3491"/>
      <c r="S99" s="3559" t="s">
        <v>3570</v>
      </c>
      <c r="T99" s="3562" t="s">
        <v>3571</v>
      </c>
      <c r="U99" s="3562" t="s">
        <v>3571</v>
      </c>
    </row>
    <row r="100" spans="1:21" s="3560" customFormat="1" ht="33.75" customHeight="1">
      <c r="A100" s="3491">
        <v>98</v>
      </c>
      <c r="B100" s="3543" t="s">
        <v>3812</v>
      </c>
      <c r="C100" s="3566" t="s">
        <v>3813</v>
      </c>
      <c r="D100" s="3550">
        <v>34</v>
      </c>
      <c r="E100" s="3498"/>
      <c r="F100" s="3541">
        <v>13</v>
      </c>
      <c r="G100" s="3498"/>
      <c r="H100" s="3541">
        <v>161330</v>
      </c>
      <c r="I100" s="3498">
        <f t="shared" ref="I100:I135" si="5">G100+H100</f>
        <v>161330</v>
      </c>
      <c r="J100" s="3498">
        <f t="shared" si="3"/>
        <v>13</v>
      </c>
      <c r="K100" s="3545">
        <v>44634</v>
      </c>
      <c r="L100" s="3568">
        <v>44652</v>
      </c>
      <c r="M100" s="3502" t="s">
        <v>3530</v>
      </c>
      <c r="N100" s="3537" t="s">
        <v>3626</v>
      </c>
      <c r="O100" s="3558" t="s">
        <v>3569</v>
      </c>
      <c r="P100" s="3546">
        <v>44774</v>
      </c>
      <c r="Q100" s="3494" t="s">
        <v>3814</v>
      </c>
      <c r="R100" s="3569">
        <v>7.0000000000000007E-2</v>
      </c>
      <c r="S100" s="3559" t="s">
        <v>3570</v>
      </c>
      <c r="T100" s="3562" t="s">
        <v>3571</v>
      </c>
      <c r="U100" s="3562" t="s">
        <v>3571</v>
      </c>
    </row>
    <row r="101" spans="1:21" s="3560" customFormat="1" ht="33.75" customHeight="1">
      <c r="A101" s="3491">
        <v>99</v>
      </c>
      <c r="B101" s="3543" t="s">
        <v>3815</v>
      </c>
      <c r="C101" s="3566" t="s">
        <v>3816</v>
      </c>
      <c r="D101" s="3550">
        <v>10</v>
      </c>
      <c r="E101" s="3498"/>
      <c r="F101" s="3541"/>
      <c r="G101" s="3498"/>
      <c r="H101" s="3541">
        <v>9000</v>
      </c>
      <c r="I101" s="3498">
        <f t="shared" si="5"/>
        <v>9000</v>
      </c>
      <c r="J101" s="3498">
        <f t="shared" si="3"/>
        <v>0</v>
      </c>
      <c r="K101" s="3545">
        <v>44631</v>
      </c>
      <c r="L101" s="3568">
        <v>44635</v>
      </c>
      <c r="M101" s="3502" t="s">
        <v>3534</v>
      </c>
      <c r="N101" s="3537" t="s">
        <v>3817</v>
      </c>
      <c r="O101" s="3558" t="s">
        <v>3575</v>
      </c>
      <c r="P101" s="3546">
        <v>44743</v>
      </c>
      <c r="Q101" s="3494" t="s">
        <v>3641</v>
      </c>
      <c r="R101" s="3491" t="s">
        <v>3642</v>
      </c>
      <c r="S101" s="3559" t="s">
        <v>3570</v>
      </c>
      <c r="T101" s="3562" t="s">
        <v>3571</v>
      </c>
      <c r="U101" s="3562" t="s">
        <v>3571</v>
      </c>
    </row>
    <row r="102" spans="1:21" s="3560" customFormat="1" ht="33.75" customHeight="1">
      <c r="A102" s="3491">
        <v>100</v>
      </c>
      <c r="B102" s="3543" t="s">
        <v>3818</v>
      </c>
      <c r="C102" s="3566" t="s">
        <v>3819</v>
      </c>
      <c r="D102" s="3550">
        <v>138</v>
      </c>
      <c r="E102" s="3498"/>
      <c r="F102" s="3541">
        <v>4</v>
      </c>
      <c r="G102" s="3498"/>
      <c r="H102" s="3541">
        <v>201480</v>
      </c>
      <c r="I102" s="3498">
        <f t="shared" si="5"/>
        <v>201480</v>
      </c>
      <c r="J102" s="3498">
        <f t="shared" si="3"/>
        <v>4</v>
      </c>
      <c r="K102" s="3545">
        <v>44635</v>
      </c>
      <c r="L102" s="3568">
        <v>44656</v>
      </c>
      <c r="M102" s="3502" t="s">
        <v>3530</v>
      </c>
      <c r="N102" s="3537" t="s">
        <v>3820</v>
      </c>
      <c r="O102" s="3558" t="s">
        <v>3776</v>
      </c>
      <c r="P102" s="3546">
        <v>44805</v>
      </c>
      <c r="Q102" s="3494" t="s">
        <v>3821</v>
      </c>
      <c r="R102" s="3569">
        <v>7.0000000000000007E-2</v>
      </c>
      <c r="S102" s="3559" t="s">
        <v>3570</v>
      </c>
      <c r="T102" s="3562" t="s">
        <v>3571</v>
      </c>
      <c r="U102" s="3562" t="s">
        <v>3571</v>
      </c>
    </row>
    <row r="103" spans="1:21" s="3560" customFormat="1" ht="33.75" customHeight="1">
      <c r="A103" s="3491">
        <v>101</v>
      </c>
      <c r="B103" s="3543" t="s">
        <v>3822</v>
      </c>
      <c r="C103" s="3566" t="s">
        <v>3823</v>
      </c>
      <c r="D103" s="3550">
        <v>120</v>
      </c>
      <c r="E103" s="3541">
        <v>8</v>
      </c>
      <c r="F103" s="3541">
        <v>3</v>
      </c>
      <c r="G103" s="3541">
        <v>350400</v>
      </c>
      <c r="H103" s="3541">
        <v>131400</v>
      </c>
      <c r="I103" s="3498">
        <f t="shared" si="5"/>
        <v>481800</v>
      </c>
      <c r="J103" s="3498">
        <f t="shared" si="3"/>
        <v>11</v>
      </c>
      <c r="K103" s="3545">
        <v>44642</v>
      </c>
      <c r="L103" s="3568">
        <v>44652</v>
      </c>
      <c r="M103" s="3502" t="s">
        <v>3530</v>
      </c>
      <c r="N103" s="3537" t="s">
        <v>3626</v>
      </c>
      <c r="O103" s="3558" t="s">
        <v>3609</v>
      </c>
      <c r="P103" s="3546">
        <v>44866</v>
      </c>
      <c r="Q103" s="3494" t="s">
        <v>3824</v>
      </c>
      <c r="R103" s="3569">
        <v>0.09</v>
      </c>
      <c r="S103" s="3559" t="s">
        <v>3570</v>
      </c>
      <c r="T103" s="3495" t="s">
        <v>3522</v>
      </c>
      <c r="U103" s="3495" t="s">
        <v>3571</v>
      </c>
    </row>
    <row r="104" spans="1:21" s="3560" customFormat="1" ht="33.75" customHeight="1">
      <c r="A104" s="3491">
        <v>102</v>
      </c>
      <c r="B104" s="3543" t="s">
        <v>3825</v>
      </c>
      <c r="C104" s="3566" t="s">
        <v>3826</v>
      </c>
      <c r="D104" s="3550">
        <v>68</v>
      </c>
      <c r="E104" s="3541">
        <v>7</v>
      </c>
      <c r="F104" s="3541">
        <v>3</v>
      </c>
      <c r="G104" s="3541">
        <v>173740</v>
      </c>
      <c r="H104" s="3541">
        <v>74460</v>
      </c>
      <c r="I104" s="3498">
        <f t="shared" si="5"/>
        <v>248200</v>
      </c>
      <c r="J104" s="3498">
        <f t="shared" si="3"/>
        <v>10</v>
      </c>
      <c r="K104" s="3545">
        <v>44642</v>
      </c>
      <c r="L104" s="3568">
        <v>44652</v>
      </c>
      <c r="M104" s="3502" t="s">
        <v>3530</v>
      </c>
      <c r="N104" s="3537" t="s">
        <v>3626</v>
      </c>
      <c r="O104" s="3558" t="s">
        <v>3575</v>
      </c>
      <c r="P104" s="3546">
        <v>44743</v>
      </c>
      <c r="Q104" s="3494" t="s">
        <v>3827</v>
      </c>
      <c r="R104" s="3569">
        <v>0.1</v>
      </c>
      <c r="S104" s="3559" t="s">
        <v>3570</v>
      </c>
      <c r="T104" s="3495" t="s">
        <v>3522</v>
      </c>
      <c r="U104" s="3495" t="s">
        <v>3571</v>
      </c>
    </row>
    <row r="105" spans="1:21" s="3560" customFormat="1" ht="33.75" customHeight="1">
      <c r="A105" s="3491">
        <v>103</v>
      </c>
      <c r="B105" s="3543" t="s">
        <v>3828</v>
      </c>
      <c r="C105" s="3566" t="s">
        <v>3829</v>
      </c>
      <c r="D105" s="3550">
        <v>40</v>
      </c>
      <c r="E105" s="3541"/>
      <c r="F105" s="3541">
        <v>14.79</v>
      </c>
      <c r="G105" s="3541"/>
      <c r="H105" s="3541">
        <f>60000+108000</f>
        <v>168000</v>
      </c>
      <c r="I105" s="3498">
        <f t="shared" si="5"/>
        <v>168000</v>
      </c>
      <c r="J105" s="3498">
        <f t="shared" si="3"/>
        <v>14.79</v>
      </c>
      <c r="K105" s="3545">
        <v>44645</v>
      </c>
      <c r="L105" s="3568">
        <v>44652</v>
      </c>
      <c r="M105" s="3502" t="s">
        <v>3609</v>
      </c>
      <c r="N105" s="3537" t="s">
        <v>3830</v>
      </c>
      <c r="O105" s="3558"/>
      <c r="P105" s="3546">
        <v>44682</v>
      </c>
      <c r="Q105" s="3494" t="s">
        <v>3641</v>
      </c>
      <c r="R105" s="3491" t="s">
        <v>3642</v>
      </c>
      <c r="S105" s="3559" t="s">
        <v>3570</v>
      </c>
      <c r="T105" s="3562" t="s">
        <v>3571</v>
      </c>
      <c r="U105" s="3562" t="s">
        <v>3571</v>
      </c>
    </row>
    <row r="106" spans="1:21" s="3560" customFormat="1" ht="33.75" customHeight="1">
      <c r="A106" s="3491">
        <v>104</v>
      </c>
      <c r="B106" s="3543" t="s">
        <v>3831</v>
      </c>
      <c r="C106" s="3566" t="s">
        <v>3832</v>
      </c>
      <c r="D106" s="3550">
        <v>79</v>
      </c>
      <c r="E106" s="3541">
        <v>12</v>
      </c>
      <c r="F106" s="3541">
        <v>3</v>
      </c>
      <c r="G106" s="3541">
        <v>259515</v>
      </c>
      <c r="H106" s="3541">
        <v>86505</v>
      </c>
      <c r="I106" s="3498">
        <f t="shared" si="5"/>
        <v>346020</v>
      </c>
      <c r="J106" s="3498">
        <f t="shared" si="3"/>
        <v>15</v>
      </c>
      <c r="K106" s="3545">
        <v>44701</v>
      </c>
      <c r="L106" s="3568">
        <v>44713</v>
      </c>
      <c r="M106" s="3502" t="s">
        <v>3530</v>
      </c>
      <c r="N106" s="3537" t="s">
        <v>3626</v>
      </c>
      <c r="O106" s="3558" t="s">
        <v>3569</v>
      </c>
      <c r="P106" s="3546">
        <v>44835</v>
      </c>
      <c r="Q106" s="3494" t="s">
        <v>3641</v>
      </c>
      <c r="R106" s="3491" t="s">
        <v>3642</v>
      </c>
      <c r="S106" s="3559" t="s">
        <v>3570</v>
      </c>
      <c r="T106" s="3495" t="s">
        <v>3522</v>
      </c>
      <c r="U106" s="3495" t="s">
        <v>3571</v>
      </c>
    </row>
    <row r="107" spans="1:21" s="3560" customFormat="1" ht="33.75" customHeight="1">
      <c r="A107" s="3491">
        <v>105</v>
      </c>
      <c r="B107" s="3570" t="s">
        <v>3833</v>
      </c>
      <c r="C107" s="3566" t="s">
        <v>3834</v>
      </c>
      <c r="D107" s="3550">
        <v>298</v>
      </c>
      <c r="E107" s="3541">
        <v>5</v>
      </c>
      <c r="F107" s="3541">
        <v>3</v>
      </c>
      <c r="G107" s="3541">
        <v>543850</v>
      </c>
      <c r="H107" s="3541">
        <v>326310</v>
      </c>
      <c r="I107" s="3498">
        <f t="shared" si="5"/>
        <v>870160</v>
      </c>
      <c r="J107" s="3498">
        <f t="shared" si="3"/>
        <v>8</v>
      </c>
      <c r="K107" s="3545">
        <v>44649</v>
      </c>
      <c r="L107" s="3568">
        <v>44682</v>
      </c>
      <c r="M107" s="3502" t="s">
        <v>3530</v>
      </c>
      <c r="N107" s="3537" t="s">
        <v>3820</v>
      </c>
      <c r="O107" s="3558" t="s">
        <v>3575</v>
      </c>
      <c r="P107" s="3546">
        <v>44774</v>
      </c>
      <c r="Q107" s="3494" t="s">
        <v>3835</v>
      </c>
      <c r="R107" s="3569">
        <v>0.02</v>
      </c>
      <c r="S107" s="3559" t="s">
        <v>3570</v>
      </c>
      <c r="T107" s="3495" t="s">
        <v>3522</v>
      </c>
      <c r="U107" s="3495" t="s">
        <v>3571</v>
      </c>
    </row>
    <row r="108" spans="1:21" s="3560" customFormat="1" ht="33.75" customHeight="1">
      <c r="A108" s="3491">
        <v>106</v>
      </c>
      <c r="B108" s="3570" t="s">
        <v>3836</v>
      </c>
      <c r="C108" s="3563" t="s">
        <v>3837</v>
      </c>
      <c r="D108" s="3564">
        <v>126</v>
      </c>
      <c r="E108" s="3498">
        <v>9</v>
      </c>
      <c r="F108" s="3498">
        <v>3</v>
      </c>
      <c r="G108" s="3498">
        <v>413910</v>
      </c>
      <c r="H108" s="3498">
        <v>137970</v>
      </c>
      <c r="I108" s="3498">
        <f t="shared" si="5"/>
        <v>551880</v>
      </c>
      <c r="J108" s="3498">
        <f t="shared" si="3"/>
        <v>12</v>
      </c>
      <c r="K108" s="3557">
        <v>44652</v>
      </c>
      <c r="L108" s="3493">
        <v>44652</v>
      </c>
      <c r="M108" s="3502" t="s">
        <v>3530</v>
      </c>
      <c r="N108" s="3537" t="s">
        <v>3820</v>
      </c>
      <c r="O108" s="3558" t="s">
        <v>3653</v>
      </c>
      <c r="P108" s="3546">
        <v>44866</v>
      </c>
      <c r="Q108" s="3494" t="s">
        <v>3838</v>
      </c>
      <c r="R108" s="3569">
        <v>0.04</v>
      </c>
      <c r="S108" s="3559" t="s">
        <v>3570</v>
      </c>
      <c r="T108" s="3495" t="s">
        <v>3522</v>
      </c>
      <c r="U108" s="3495" t="s">
        <v>3571</v>
      </c>
    </row>
    <row r="109" spans="1:21" s="3560" customFormat="1" ht="33.75" customHeight="1">
      <c r="A109" s="3491">
        <v>107</v>
      </c>
      <c r="B109" s="3570" t="s">
        <v>3839</v>
      </c>
      <c r="C109" s="3563" t="s">
        <v>3840</v>
      </c>
      <c r="D109" s="3564">
        <v>97</v>
      </c>
      <c r="E109" s="3498"/>
      <c r="F109" s="3498"/>
      <c r="G109" s="3498"/>
      <c r="H109" s="3498">
        <v>120000</v>
      </c>
      <c r="I109" s="3498">
        <f t="shared" si="5"/>
        <v>120000</v>
      </c>
      <c r="J109" s="3498">
        <f t="shared" si="3"/>
        <v>0</v>
      </c>
      <c r="K109" s="3557">
        <v>44652</v>
      </c>
      <c r="L109" s="3493">
        <v>44652</v>
      </c>
      <c r="M109" s="3502" t="s">
        <v>3530</v>
      </c>
      <c r="N109" s="3537" t="s">
        <v>3820</v>
      </c>
      <c r="O109" s="3558" t="s">
        <v>3575</v>
      </c>
      <c r="P109" s="3546">
        <v>44774</v>
      </c>
      <c r="Q109" s="3494" t="s">
        <v>3641</v>
      </c>
      <c r="R109" s="3491" t="s">
        <v>3642</v>
      </c>
      <c r="S109" s="3559" t="s">
        <v>3570</v>
      </c>
      <c r="T109" s="3562" t="s">
        <v>3571</v>
      </c>
      <c r="U109" s="3562" t="s">
        <v>3571</v>
      </c>
    </row>
    <row r="110" spans="1:21" s="3560" customFormat="1" ht="33.75" customHeight="1">
      <c r="A110" s="3491">
        <v>108</v>
      </c>
      <c r="B110" s="3570" t="s">
        <v>3841</v>
      </c>
      <c r="C110" s="3563" t="s">
        <v>3842</v>
      </c>
      <c r="D110" s="3564">
        <v>235</v>
      </c>
      <c r="E110" s="3498">
        <v>6</v>
      </c>
      <c r="F110" s="3498">
        <v>3</v>
      </c>
      <c r="G110" s="3498">
        <v>514650</v>
      </c>
      <c r="H110" s="3498">
        <v>257325</v>
      </c>
      <c r="I110" s="3498">
        <f t="shared" si="5"/>
        <v>771975</v>
      </c>
      <c r="J110" s="3498">
        <f t="shared" si="3"/>
        <v>9</v>
      </c>
      <c r="K110" s="3557">
        <v>44653</v>
      </c>
      <c r="L110" s="3493">
        <v>44682</v>
      </c>
      <c r="M110" s="3502" t="s">
        <v>3530</v>
      </c>
      <c r="N110" s="3537" t="s">
        <v>3769</v>
      </c>
      <c r="O110" s="3558" t="s">
        <v>3653</v>
      </c>
      <c r="P110" s="3546">
        <v>44866</v>
      </c>
      <c r="Q110" s="3494" t="s">
        <v>3843</v>
      </c>
      <c r="R110" s="3569">
        <v>0.05</v>
      </c>
      <c r="S110" s="3559" t="s">
        <v>3570</v>
      </c>
      <c r="T110" s="3495" t="s">
        <v>3522</v>
      </c>
      <c r="U110" s="3495" t="s">
        <v>3571</v>
      </c>
    </row>
    <row r="111" spans="1:21" s="3560" customFormat="1" ht="33.75" customHeight="1">
      <c r="A111" s="3491">
        <v>109</v>
      </c>
      <c r="B111" s="3496" t="s">
        <v>3844</v>
      </c>
      <c r="C111" s="3563" t="s">
        <v>3845</v>
      </c>
      <c r="D111" s="3564">
        <v>238</v>
      </c>
      <c r="E111" s="3498">
        <v>9</v>
      </c>
      <c r="F111" s="3498">
        <v>3</v>
      </c>
      <c r="G111" s="3498">
        <v>781830</v>
      </c>
      <c r="H111" s="3498">
        <v>260610</v>
      </c>
      <c r="I111" s="3498">
        <f t="shared" si="5"/>
        <v>1042440</v>
      </c>
      <c r="J111" s="3498">
        <f t="shared" si="3"/>
        <v>12</v>
      </c>
      <c r="K111" s="3557">
        <v>44659</v>
      </c>
      <c r="L111" s="3493">
        <v>44659</v>
      </c>
      <c r="M111" s="3502" t="s">
        <v>3481</v>
      </c>
      <c r="N111" s="3537" t="s">
        <v>3820</v>
      </c>
      <c r="O111" s="3558" t="s">
        <v>3575</v>
      </c>
      <c r="P111" s="3546">
        <v>44774</v>
      </c>
      <c r="Q111" s="3494" t="s">
        <v>3783</v>
      </c>
      <c r="R111" s="3569">
        <v>2.5000000000000001E-2</v>
      </c>
      <c r="S111" s="3559" t="s">
        <v>3570</v>
      </c>
      <c r="T111" s="3495" t="s">
        <v>3522</v>
      </c>
      <c r="U111" s="3495" t="s">
        <v>3571</v>
      </c>
    </row>
    <row r="112" spans="1:21" s="3560" customFormat="1" ht="33.75" customHeight="1">
      <c r="A112" s="3491">
        <v>110</v>
      </c>
      <c r="B112" s="3551" t="s">
        <v>3846</v>
      </c>
      <c r="C112" s="3563" t="s">
        <v>3847</v>
      </c>
      <c r="D112" s="3564">
        <v>630</v>
      </c>
      <c r="E112" s="3498"/>
      <c r="F112" s="3498">
        <v>4</v>
      </c>
      <c r="G112" s="3498"/>
      <c r="H112" s="3498">
        <v>919800</v>
      </c>
      <c r="I112" s="3498">
        <f t="shared" si="5"/>
        <v>919800</v>
      </c>
      <c r="J112" s="3498">
        <f t="shared" si="3"/>
        <v>4</v>
      </c>
      <c r="K112" s="3557">
        <v>44663</v>
      </c>
      <c r="L112" s="3493">
        <v>44652</v>
      </c>
      <c r="M112" s="3502" t="s">
        <v>3530</v>
      </c>
      <c r="N112" s="3537" t="s">
        <v>3657</v>
      </c>
      <c r="O112" s="3558" t="s">
        <v>3575</v>
      </c>
      <c r="P112" s="3546">
        <v>44896</v>
      </c>
      <c r="Q112" s="3494" t="s">
        <v>3848</v>
      </c>
      <c r="R112" s="3569">
        <v>0.06</v>
      </c>
      <c r="S112" s="3559" t="s">
        <v>3570</v>
      </c>
      <c r="T112" s="3562" t="s">
        <v>3571</v>
      </c>
      <c r="U112" s="3562" t="s">
        <v>3571</v>
      </c>
    </row>
    <row r="113" spans="1:21" s="3560" customFormat="1" ht="33.75" customHeight="1">
      <c r="A113" s="3491">
        <v>111</v>
      </c>
      <c r="B113" s="3570" t="s">
        <v>3849</v>
      </c>
      <c r="C113" s="3566" t="s">
        <v>3850</v>
      </c>
      <c r="D113" s="3564">
        <v>1020</v>
      </c>
      <c r="E113" s="3498"/>
      <c r="F113" s="3498"/>
      <c r="G113" s="3498"/>
      <c r="H113" s="3498"/>
      <c r="I113" s="3551" t="s">
        <v>3851</v>
      </c>
      <c r="J113" s="3498"/>
      <c r="K113" s="3545">
        <v>44664</v>
      </c>
      <c r="L113" s="3493"/>
      <c r="M113" s="3502" t="s">
        <v>3534</v>
      </c>
      <c r="N113" s="3537" t="s">
        <v>3574</v>
      </c>
      <c r="O113" s="3558"/>
      <c r="P113" s="3546">
        <v>44793</v>
      </c>
      <c r="Q113" s="3551" t="s">
        <v>3851</v>
      </c>
      <c r="R113" s="3569"/>
      <c r="S113" s="3559" t="s">
        <v>3570</v>
      </c>
      <c r="T113" s="3562" t="s">
        <v>3571</v>
      </c>
      <c r="U113" s="3562" t="s">
        <v>3571</v>
      </c>
    </row>
    <row r="114" spans="1:21" s="3560" customFormat="1" ht="33.75" customHeight="1">
      <c r="A114" s="3491">
        <v>112</v>
      </c>
      <c r="B114" s="3571" t="s">
        <v>3852</v>
      </c>
      <c r="C114" s="3563" t="s">
        <v>3853</v>
      </c>
      <c r="D114" s="3564">
        <v>253</v>
      </c>
      <c r="E114" s="3498">
        <v>14</v>
      </c>
      <c r="F114" s="3498">
        <v>3</v>
      </c>
      <c r="G114" s="3498">
        <v>1292830</v>
      </c>
      <c r="H114" s="3498">
        <v>277035</v>
      </c>
      <c r="I114" s="3498">
        <f t="shared" si="5"/>
        <v>1569865</v>
      </c>
      <c r="J114" s="3498">
        <f t="shared" si="3"/>
        <v>17</v>
      </c>
      <c r="K114" s="3557">
        <v>44664</v>
      </c>
      <c r="L114" s="3493">
        <v>44682</v>
      </c>
      <c r="M114" s="3502" t="s">
        <v>3609</v>
      </c>
      <c r="N114" s="3537" t="s">
        <v>3769</v>
      </c>
      <c r="O114" s="3558" t="s">
        <v>3587</v>
      </c>
      <c r="P114" s="3546">
        <v>44805</v>
      </c>
      <c r="Q114" s="3494" t="s">
        <v>3770</v>
      </c>
      <c r="R114" s="3569">
        <v>2.5000000000000001E-2</v>
      </c>
      <c r="S114" s="3559" t="s">
        <v>3570</v>
      </c>
      <c r="T114" s="3495" t="s">
        <v>3522</v>
      </c>
      <c r="U114" s="3495" t="s">
        <v>3522</v>
      </c>
    </row>
    <row r="115" spans="1:21" s="3560" customFormat="1" ht="33.75" customHeight="1">
      <c r="A115" s="3491">
        <v>113</v>
      </c>
      <c r="B115" s="3572" t="s">
        <v>3854</v>
      </c>
      <c r="C115" s="3563" t="s">
        <v>3855</v>
      </c>
      <c r="D115" s="3564">
        <v>172</v>
      </c>
      <c r="E115" s="3498">
        <v>5</v>
      </c>
      <c r="F115" s="3498">
        <v>3</v>
      </c>
      <c r="G115" s="3498">
        <v>313900</v>
      </c>
      <c r="H115" s="3498">
        <v>188340</v>
      </c>
      <c r="I115" s="3498">
        <f t="shared" si="5"/>
        <v>502240</v>
      </c>
      <c r="J115" s="3498">
        <f t="shared" si="3"/>
        <v>8</v>
      </c>
      <c r="K115" s="3557">
        <v>44670</v>
      </c>
      <c r="L115" s="3493">
        <v>44696</v>
      </c>
      <c r="M115" s="3502" t="s">
        <v>3481</v>
      </c>
      <c r="N115" s="3537" t="s">
        <v>3856</v>
      </c>
      <c r="O115" s="3558" t="s">
        <v>3857</v>
      </c>
      <c r="P115" s="3546">
        <v>44910</v>
      </c>
      <c r="Q115" s="3494" t="s">
        <v>3858</v>
      </c>
      <c r="R115" s="3569">
        <v>0.06</v>
      </c>
      <c r="S115" s="3559" t="s">
        <v>3570</v>
      </c>
      <c r="T115" s="3495" t="s">
        <v>3522</v>
      </c>
      <c r="U115" s="3495" t="s">
        <v>3571</v>
      </c>
    </row>
    <row r="116" spans="1:21" s="3560" customFormat="1" ht="33.75" customHeight="1">
      <c r="A116" s="3491">
        <v>114</v>
      </c>
      <c r="B116" s="3572" t="s">
        <v>3859</v>
      </c>
      <c r="C116" s="3563" t="s">
        <v>3855</v>
      </c>
      <c r="D116" s="3564">
        <v>81</v>
      </c>
      <c r="E116" s="3498">
        <v>5</v>
      </c>
      <c r="F116" s="3498">
        <v>3</v>
      </c>
      <c r="G116" s="3498">
        <v>147825</v>
      </c>
      <c r="H116" s="3498">
        <v>88695</v>
      </c>
      <c r="I116" s="3498">
        <f t="shared" si="5"/>
        <v>236520</v>
      </c>
      <c r="J116" s="3498">
        <f t="shared" si="3"/>
        <v>8</v>
      </c>
      <c r="K116" s="3557">
        <v>44670</v>
      </c>
      <c r="L116" s="3493">
        <v>44696</v>
      </c>
      <c r="M116" s="3502" t="s">
        <v>3481</v>
      </c>
      <c r="N116" s="3537" t="s">
        <v>3856</v>
      </c>
      <c r="O116" s="3558" t="s">
        <v>3857</v>
      </c>
      <c r="P116" s="3546">
        <v>44910</v>
      </c>
      <c r="Q116" s="3494" t="s">
        <v>3783</v>
      </c>
      <c r="R116" s="3569">
        <v>2.5000000000000001E-2</v>
      </c>
      <c r="S116" s="3559" t="s">
        <v>3570</v>
      </c>
      <c r="T116" s="3495" t="s">
        <v>3522</v>
      </c>
      <c r="U116" s="3495" t="s">
        <v>3571</v>
      </c>
    </row>
    <row r="117" spans="1:21" s="3560" customFormat="1" ht="33.75" customHeight="1">
      <c r="A117" s="3491">
        <v>115</v>
      </c>
      <c r="B117" s="3540" t="s">
        <v>3860</v>
      </c>
      <c r="C117" s="3563" t="s">
        <v>3861</v>
      </c>
      <c r="D117" s="3564">
        <v>34</v>
      </c>
      <c r="E117" s="3498">
        <v>11.5</v>
      </c>
      <c r="F117" s="3498">
        <v>3</v>
      </c>
      <c r="G117" s="3498">
        <v>142770</v>
      </c>
      <c r="H117" s="3498">
        <v>37230</v>
      </c>
      <c r="I117" s="3498">
        <f t="shared" si="5"/>
        <v>180000</v>
      </c>
      <c r="J117" s="3498">
        <f t="shared" si="3"/>
        <v>14.5</v>
      </c>
      <c r="K117" s="3557">
        <v>44678</v>
      </c>
      <c r="L117" s="3493">
        <v>44696</v>
      </c>
      <c r="M117" s="3502" t="s">
        <v>3530</v>
      </c>
      <c r="N117" s="3537" t="s">
        <v>3583</v>
      </c>
      <c r="O117" s="3558" t="s">
        <v>3569</v>
      </c>
      <c r="P117" s="3546">
        <v>44805</v>
      </c>
      <c r="Q117" s="3494" t="s">
        <v>3862</v>
      </c>
      <c r="R117" s="3569">
        <v>2.5000000000000001E-2</v>
      </c>
      <c r="S117" s="3559" t="s">
        <v>3570</v>
      </c>
      <c r="T117" s="3495" t="s">
        <v>3522</v>
      </c>
      <c r="U117" s="3495" t="s">
        <v>3571</v>
      </c>
    </row>
    <row r="118" spans="1:21" s="3560" customFormat="1" ht="33.75" customHeight="1">
      <c r="A118" s="3491">
        <v>116</v>
      </c>
      <c r="B118" s="3573" t="s">
        <v>3863</v>
      </c>
      <c r="C118" s="3563" t="s">
        <v>3864</v>
      </c>
      <c r="D118" s="3564">
        <v>84</v>
      </c>
      <c r="E118" s="3498">
        <v>10</v>
      </c>
      <c r="F118" s="3498">
        <v>3</v>
      </c>
      <c r="G118" s="3498">
        <v>306600</v>
      </c>
      <c r="H118" s="3498">
        <v>91980</v>
      </c>
      <c r="I118" s="3498">
        <f t="shared" si="5"/>
        <v>398580</v>
      </c>
      <c r="J118" s="3498">
        <f t="shared" si="3"/>
        <v>13</v>
      </c>
      <c r="K118" s="3557">
        <v>44725</v>
      </c>
      <c r="L118" s="3493">
        <v>44730</v>
      </c>
      <c r="M118" s="3502" t="s">
        <v>3530</v>
      </c>
      <c r="N118" s="3537" t="s">
        <v>3820</v>
      </c>
      <c r="O118" s="3558" t="s">
        <v>3653</v>
      </c>
      <c r="P118" s="3546">
        <v>44913</v>
      </c>
      <c r="Q118" s="3494" t="s">
        <v>3865</v>
      </c>
      <c r="R118" s="3569">
        <v>3.7999999999999999E-2</v>
      </c>
      <c r="S118" s="3559" t="s">
        <v>3570</v>
      </c>
      <c r="T118" s="3495" t="s">
        <v>3522</v>
      </c>
      <c r="U118" s="3495" t="s">
        <v>3522</v>
      </c>
    </row>
    <row r="119" spans="1:21" s="3560" customFormat="1" ht="33.75" customHeight="1">
      <c r="A119" s="3491">
        <v>117</v>
      </c>
      <c r="B119" s="3573" t="s">
        <v>3866</v>
      </c>
      <c r="C119" s="3566" t="s">
        <v>3867</v>
      </c>
      <c r="D119" s="3544">
        <v>2228</v>
      </c>
      <c r="E119" s="3498"/>
      <c r="F119" s="3498"/>
      <c r="G119" s="3498"/>
      <c r="H119" s="3498"/>
      <c r="I119" s="3498" t="s">
        <v>3868</v>
      </c>
      <c r="J119" s="3498">
        <f t="shared" si="3"/>
        <v>0</v>
      </c>
      <c r="K119" s="3545">
        <v>44743</v>
      </c>
      <c r="L119" s="3546">
        <v>44743</v>
      </c>
      <c r="M119" s="3551" t="s">
        <v>3869</v>
      </c>
      <c r="N119" s="3537" t="s">
        <v>3870</v>
      </c>
      <c r="O119" s="3558"/>
      <c r="P119" s="3546">
        <v>44896</v>
      </c>
      <c r="Q119" s="3498" t="s">
        <v>3868</v>
      </c>
      <c r="R119" s="3569"/>
      <c r="S119" s="3559" t="s">
        <v>3570</v>
      </c>
      <c r="T119" s="3562" t="s">
        <v>3571</v>
      </c>
      <c r="U119" s="3562" t="s">
        <v>3571</v>
      </c>
    </row>
    <row r="120" spans="1:21" s="3560" customFormat="1" ht="33.75" customHeight="1">
      <c r="A120" s="3491">
        <v>118</v>
      </c>
      <c r="B120" s="3574" t="s">
        <v>3871</v>
      </c>
      <c r="C120" s="3566" t="s">
        <v>3872</v>
      </c>
      <c r="D120" s="3550">
        <v>44</v>
      </c>
      <c r="E120" s="3498"/>
      <c r="F120" s="3498">
        <v>10</v>
      </c>
      <c r="G120" s="3498"/>
      <c r="H120" s="3498">
        <v>160600</v>
      </c>
      <c r="I120" s="3498">
        <f t="shared" si="5"/>
        <v>160600</v>
      </c>
      <c r="J120" s="3498">
        <f t="shared" si="3"/>
        <v>10</v>
      </c>
      <c r="K120" s="3545">
        <v>44748</v>
      </c>
      <c r="L120" s="3546">
        <v>44757</v>
      </c>
      <c r="M120" s="3502" t="s">
        <v>3530</v>
      </c>
      <c r="N120" s="3537" t="s">
        <v>3583</v>
      </c>
      <c r="O120" s="3558" t="s">
        <v>3873</v>
      </c>
      <c r="P120" s="3546">
        <v>44866</v>
      </c>
      <c r="Q120" s="3494" t="s">
        <v>3874</v>
      </c>
      <c r="R120" s="3569">
        <v>2.5000000000000001E-2</v>
      </c>
      <c r="S120" s="3559" t="s">
        <v>3570</v>
      </c>
      <c r="T120" s="3562" t="s">
        <v>3571</v>
      </c>
      <c r="U120" s="3562" t="s">
        <v>3571</v>
      </c>
    </row>
    <row r="121" spans="1:21" s="3560" customFormat="1" ht="33.75" customHeight="1">
      <c r="A121" s="3491">
        <v>119</v>
      </c>
      <c r="B121" s="3551" t="s">
        <v>3875</v>
      </c>
      <c r="C121" s="3563" t="s">
        <v>3876</v>
      </c>
      <c r="D121" s="3564">
        <v>133</v>
      </c>
      <c r="E121" s="3498"/>
      <c r="F121" s="3498">
        <v>5</v>
      </c>
      <c r="G121" s="3498"/>
      <c r="H121" s="3498">
        <v>242725</v>
      </c>
      <c r="I121" s="3498">
        <f t="shared" si="5"/>
        <v>242725</v>
      </c>
      <c r="J121" s="3498">
        <f t="shared" si="3"/>
        <v>5</v>
      </c>
      <c r="K121" s="3557">
        <v>44756</v>
      </c>
      <c r="L121" s="3493">
        <v>44774</v>
      </c>
      <c r="M121" s="3502" t="s">
        <v>3530</v>
      </c>
      <c r="N121" s="3537" t="s">
        <v>3583</v>
      </c>
      <c r="O121" s="3558" t="s">
        <v>3579</v>
      </c>
      <c r="P121" s="3546">
        <v>44835</v>
      </c>
      <c r="Q121" s="3494" t="s">
        <v>3874</v>
      </c>
      <c r="R121" s="3569">
        <v>2.5000000000000001E-2</v>
      </c>
      <c r="S121" s="3559" t="s">
        <v>3570</v>
      </c>
      <c r="T121" s="3562" t="s">
        <v>3571</v>
      </c>
      <c r="U121" s="3562" t="s">
        <v>3571</v>
      </c>
    </row>
    <row r="122" spans="1:21" s="3560" customFormat="1" ht="33.75" customHeight="1">
      <c r="A122" s="3491">
        <v>120</v>
      </c>
      <c r="B122" s="3574" t="s">
        <v>3877</v>
      </c>
      <c r="C122" s="3566" t="s">
        <v>3878</v>
      </c>
      <c r="D122" s="3550">
        <v>54</v>
      </c>
      <c r="E122" s="3541">
        <v>10</v>
      </c>
      <c r="F122" s="3541">
        <v>3</v>
      </c>
      <c r="G122" s="3541">
        <v>197100</v>
      </c>
      <c r="H122" s="3541">
        <v>59130</v>
      </c>
      <c r="I122" s="3498">
        <f t="shared" si="5"/>
        <v>256230</v>
      </c>
      <c r="J122" s="3498">
        <f t="shared" si="3"/>
        <v>13</v>
      </c>
      <c r="K122" s="3545">
        <v>44760</v>
      </c>
      <c r="L122" s="3568">
        <v>44774</v>
      </c>
      <c r="M122" s="3502" t="s">
        <v>3530</v>
      </c>
      <c r="N122" s="3537" t="s">
        <v>3583</v>
      </c>
      <c r="O122" s="3558" t="s">
        <v>3569</v>
      </c>
      <c r="P122" s="3546">
        <v>44896</v>
      </c>
      <c r="Q122" s="3494" t="s">
        <v>3879</v>
      </c>
      <c r="R122" s="3569">
        <v>0.15</v>
      </c>
      <c r="S122" s="3559" t="s">
        <v>3570</v>
      </c>
      <c r="T122" s="3495" t="s">
        <v>3522</v>
      </c>
      <c r="U122" s="3495" t="s">
        <v>3571</v>
      </c>
    </row>
    <row r="123" spans="1:21" s="3560" customFormat="1" ht="33.75" customHeight="1">
      <c r="A123" s="3491">
        <v>121</v>
      </c>
      <c r="B123" s="3574" t="s">
        <v>3880</v>
      </c>
      <c r="C123" s="3566" t="s">
        <v>3881</v>
      </c>
      <c r="D123" s="3550">
        <v>155</v>
      </c>
      <c r="E123" s="3541">
        <v>6</v>
      </c>
      <c r="F123" s="3541">
        <v>3</v>
      </c>
      <c r="G123" s="3541">
        <v>339450</v>
      </c>
      <c r="H123" s="3541">
        <v>169725</v>
      </c>
      <c r="I123" s="3498">
        <f t="shared" si="5"/>
        <v>509175</v>
      </c>
      <c r="J123" s="3498">
        <f t="shared" si="3"/>
        <v>9</v>
      </c>
      <c r="K123" s="3545">
        <v>44790</v>
      </c>
      <c r="L123" s="3568">
        <v>44805</v>
      </c>
      <c r="M123" s="3502" t="s">
        <v>3530</v>
      </c>
      <c r="N123" s="3537" t="s">
        <v>3583</v>
      </c>
      <c r="O123" s="3558" t="s">
        <v>3653</v>
      </c>
      <c r="P123" s="3546">
        <v>44986</v>
      </c>
      <c r="Q123" s="3494" t="s">
        <v>3641</v>
      </c>
      <c r="R123" s="3491" t="s">
        <v>3642</v>
      </c>
      <c r="S123" s="3559" t="s">
        <v>3570</v>
      </c>
      <c r="T123" s="3495" t="s">
        <v>3522</v>
      </c>
      <c r="U123" s="3495" t="s">
        <v>3571</v>
      </c>
    </row>
    <row r="124" spans="1:21" s="3560" customFormat="1" ht="33.75" customHeight="1">
      <c r="A124" s="3491">
        <v>122</v>
      </c>
      <c r="B124" s="3574" t="s">
        <v>3882</v>
      </c>
      <c r="C124" s="3575" t="s">
        <v>3883</v>
      </c>
      <c r="D124" s="3550">
        <v>710</v>
      </c>
      <c r="E124" s="3541"/>
      <c r="F124" s="3541"/>
      <c r="G124" s="3541"/>
      <c r="H124" s="3541"/>
      <c r="I124" s="3498" t="s">
        <v>3884</v>
      </c>
      <c r="J124" s="3498"/>
      <c r="K124" s="3545">
        <v>44791</v>
      </c>
      <c r="L124" s="3568">
        <v>44793</v>
      </c>
      <c r="M124" s="3502" t="s">
        <v>3534</v>
      </c>
      <c r="N124" s="3537" t="s">
        <v>3574</v>
      </c>
      <c r="O124" s="3558" t="s">
        <v>3579</v>
      </c>
      <c r="P124" s="3546">
        <v>44866</v>
      </c>
      <c r="Q124" s="3498" t="s">
        <v>3884</v>
      </c>
      <c r="R124" s="3491"/>
      <c r="S124" s="3559" t="s">
        <v>3570</v>
      </c>
      <c r="T124" s="3562" t="s">
        <v>3571</v>
      </c>
      <c r="U124" s="3562" t="s">
        <v>3571</v>
      </c>
    </row>
    <row r="125" spans="1:21" s="3560" customFormat="1" ht="33.75" customHeight="1">
      <c r="A125" s="3491">
        <v>123</v>
      </c>
      <c r="B125" s="3574" t="s">
        <v>3885</v>
      </c>
      <c r="C125" s="3566" t="s">
        <v>3886</v>
      </c>
      <c r="D125" s="3550">
        <v>134</v>
      </c>
      <c r="E125" s="3541"/>
      <c r="F125" s="3541">
        <v>6</v>
      </c>
      <c r="G125" s="3541"/>
      <c r="H125" s="3541">
        <v>293460</v>
      </c>
      <c r="I125" s="3498">
        <f t="shared" si="5"/>
        <v>293460</v>
      </c>
      <c r="J125" s="3498">
        <f t="shared" si="3"/>
        <v>6</v>
      </c>
      <c r="K125" s="3545">
        <v>44795</v>
      </c>
      <c r="L125" s="3568">
        <v>44805</v>
      </c>
      <c r="M125" s="3502" t="s">
        <v>3530</v>
      </c>
      <c r="N125" s="3537" t="s">
        <v>3583</v>
      </c>
      <c r="O125" s="3558" t="s">
        <v>3653</v>
      </c>
      <c r="P125" s="3546">
        <v>44986</v>
      </c>
      <c r="Q125" s="3494" t="s">
        <v>3641</v>
      </c>
      <c r="R125" s="3491" t="s">
        <v>3642</v>
      </c>
      <c r="S125" s="3559" t="s">
        <v>3570</v>
      </c>
      <c r="T125" s="3562" t="s">
        <v>3571</v>
      </c>
      <c r="U125" s="3562" t="s">
        <v>3571</v>
      </c>
    </row>
    <row r="126" spans="1:21" s="3560" customFormat="1" ht="33.75" customHeight="1">
      <c r="A126" s="3491">
        <v>124</v>
      </c>
      <c r="B126" s="3574" t="s">
        <v>3887</v>
      </c>
      <c r="C126" s="3566" t="s">
        <v>3888</v>
      </c>
      <c r="D126" s="3550">
        <v>48</v>
      </c>
      <c r="E126" s="3541">
        <v>5.5</v>
      </c>
      <c r="F126" s="3541">
        <v>3</v>
      </c>
      <c r="G126" s="3541">
        <v>96360</v>
      </c>
      <c r="H126" s="3541">
        <v>52560</v>
      </c>
      <c r="I126" s="3498">
        <f t="shared" si="5"/>
        <v>148920</v>
      </c>
      <c r="J126" s="3498">
        <f t="shared" si="3"/>
        <v>8.5</v>
      </c>
      <c r="K126" s="3545">
        <v>44798</v>
      </c>
      <c r="L126" s="3568">
        <v>44805</v>
      </c>
      <c r="M126" s="3502" t="s">
        <v>3530</v>
      </c>
      <c r="N126" s="3576" t="s">
        <v>3889</v>
      </c>
      <c r="O126" s="3558" t="s">
        <v>3569</v>
      </c>
      <c r="P126" s="3546">
        <v>44927</v>
      </c>
      <c r="Q126" s="3494" t="s">
        <v>3798</v>
      </c>
      <c r="R126" s="3569">
        <v>2.5000000000000001E-2</v>
      </c>
      <c r="S126" s="3559" t="s">
        <v>3570</v>
      </c>
      <c r="T126" s="3495" t="s">
        <v>3522</v>
      </c>
      <c r="U126" s="3495" t="s">
        <v>3571</v>
      </c>
    </row>
    <row r="127" spans="1:21" s="3560" customFormat="1" ht="33.75" customHeight="1">
      <c r="A127" s="3491">
        <v>125</v>
      </c>
      <c r="B127" s="3570" t="s">
        <v>3890</v>
      </c>
      <c r="C127" s="3566" t="s">
        <v>3891</v>
      </c>
      <c r="D127" s="3550">
        <v>113</v>
      </c>
      <c r="E127" s="3541">
        <v>9</v>
      </c>
      <c r="F127" s="3541">
        <v>3</v>
      </c>
      <c r="G127" s="3541">
        <v>371205</v>
      </c>
      <c r="H127" s="3541">
        <v>123735</v>
      </c>
      <c r="I127" s="3498">
        <f t="shared" si="5"/>
        <v>494940</v>
      </c>
      <c r="J127" s="3498">
        <f t="shared" si="3"/>
        <v>12</v>
      </c>
      <c r="K127" s="3545">
        <v>44813</v>
      </c>
      <c r="L127" s="3568">
        <v>44824</v>
      </c>
      <c r="M127" s="3502" t="s">
        <v>3530</v>
      </c>
      <c r="N127" s="3537" t="s">
        <v>3583</v>
      </c>
      <c r="O127" s="3558" t="s">
        <v>3575</v>
      </c>
      <c r="P127" s="3546">
        <v>44915</v>
      </c>
      <c r="Q127" s="3494" t="s">
        <v>3892</v>
      </c>
      <c r="R127" s="3569">
        <v>0.08</v>
      </c>
      <c r="S127" s="3559" t="s">
        <v>3570</v>
      </c>
      <c r="T127" s="3495" t="s">
        <v>3522</v>
      </c>
      <c r="U127" s="3495" t="s">
        <v>3571</v>
      </c>
    </row>
    <row r="128" spans="1:21" s="3560" customFormat="1" ht="33.75" customHeight="1">
      <c r="A128" s="3491">
        <v>126</v>
      </c>
      <c r="B128" s="3548" t="s">
        <v>3760</v>
      </c>
      <c r="C128" s="3566" t="s">
        <v>3745</v>
      </c>
      <c r="D128" s="3550">
        <v>4</v>
      </c>
      <c r="E128" s="3541"/>
      <c r="F128" s="3541">
        <v>2.4700000000000002</v>
      </c>
      <c r="G128" s="3541"/>
      <c r="H128" s="3541">
        <v>3600</v>
      </c>
      <c r="I128" s="3498">
        <f t="shared" si="5"/>
        <v>3600</v>
      </c>
      <c r="J128" s="3498">
        <f t="shared" si="3"/>
        <v>2.4700000000000002</v>
      </c>
      <c r="K128" s="3545">
        <v>44861</v>
      </c>
      <c r="L128" s="3568">
        <v>44866</v>
      </c>
      <c r="M128" s="3502" t="s">
        <v>3530</v>
      </c>
      <c r="N128" s="3537" t="s">
        <v>3893</v>
      </c>
      <c r="O128" s="3558" t="s">
        <v>3579</v>
      </c>
      <c r="P128" s="3546">
        <v>44927</v>
      </c>
      <c r="Q128" s="3494" t="s">
        <v>3641</v>
      </c>
      <c r="R128" s="3491" t="s">
        <v>3642</v>
      </c>
      <c r="S128" s="3559" t="s">
        <v>3570</v>
      </c>
      <c r="T128" s="3562" t="s">
        <v>3571</v>
      </c>
      <c r="U128" s="3562" t="s">
        <v>3571</v>
      </c>
    </row>
    <row r="129" spans="1:21" s="3560" customFormat="1" ht="33.75" customHeight="1">
      <c r="A129" s="3491">
        <v>127</v>
      </c>
      <c r="B129" s="3547" t="s">
        <v>3894</v>
      </c>
      <c r="C129" s="3566" t="s">
        <v>3895</v>
      </c>
      <c r="D129" s="3550">
        <v>296</v>
      </c>
      <c r="E129" s="3541">
        <v>7</v>
      </c>
      <c r="F129" s="3541">
        <v>3</v>
      </c>
      <c r="G129" s="3541">
        <v>756279.96</v>
      </c>
      <c r="H129" s="3541">
        <v>324120</v>
      </c>
      <c r="I129" s="3498">
        <f t="shared" si="5"/>
        <v>1080399.96</v>
      </c>
      <c r="J129" s="3498">
        <f t="shared" si="3"/>
        <v>10</v>
      </c>
      <c r="K129" s="3545">
        <v>44862</v>
      </c>
      <c r="L129" s="3568">
        <v>44866</v>
      </c>
      <c r="M129" s="3502" t="s">
        <v>3530</v>
      </c>
      <c r="N129" s="3537" t="s">
        <v>3619</v>
      </c>
      <c r="O129" s="3558" t="s">
        <v>3743</v>
      </c>
      <c r="P129" s="3546">
        <v>44986</v>
      </c>
      <c r="Q129" s="3494" t="s">
        <v>3896</v>
      </c>
      <c r="R129" s="3569">
        <v>0.05</v>
      </c>
      <c r="S129" s="3559" t="s">
        <v>3570</v>
      </c>
      <c r="T129" s="3495" t="s">
        <v>3571</v>
      </c>
      <c r="U129" s="3495" t="s">
        <v>3571</v>
      </c>
    </row>
    <row r="130" spans="1:21" s="3560" customFormat="1" ht="33.75" customHeight="1">
      <c r="A130" s="3491">
        <v>128</v>
      </c>
      <c r="B130" s="3548" t="s">
        <v>3897</v>
      </c>
      <c r="C130" s="3566" t="s">
        <v>3898</v>
      </c>
      <c r="D130" s="3550">
        <v>545</v>
      </c>
      <c r="E130" s="3541"/>
      <c r="F130" s="3541"/>
      <c r="G130" s="3541"/>
      <c r="H130" s="3541"/>
      <c r="I130" s="3498" t="s">
        <v>3899</v>
      </c>
      <c r="J130" s="3498"/>
      <c r="K130" s="3568">
        <v>44864</v>
      </c>
      <c r="L130" s="3568">
        <v>44866</v>
      </c>
      <c r="M130" s="3502" t="s">
        <v>3534</v>
      </c>
      <c r="N130" s="3537" t="s">
        <v>3817</v>
      </c>
      <c r="O130" s="3558" t="s">
        <v>3900</v>
      </c>
      <c r="P130" s="3546">
        <v>44896</v>
      </c>
      <c r="Q130" s="3494" t="s">
        <v>3901</v>
      </c>
      <c r="R130" s="3569"/>
      <c r="S130" s="3559" t="s">
        <v>3570</v>
      </c>
      <c r="T130" s="3562" t="s">
        <v>3571</v>
      </c>
      <c r="U130" s="3562" t="s">
        <v>3571</v>
      </c>
    </row>
    <row r="131" spans="1:21" s="3560" customFormat="1" ht="33.75" customHeight="1">
      <c r="A131" s="3491">
        <v>129</v>
      </c>
      <c r="B131" s="3548" t="s">
        <v>3902</v>
      </c>
      <c r="C131" s="3566" t="s">
        <v>3903</v>
      </c>
      <c r="D131" s="3550">
        <v>130</v>
      </c>
      <c r="E131" s="3541"/>
      <c r="F131" s="3541">
        <v>5</v>
      </c>
      <c r="G131" s="3541"/>
      <c r="H131" s="3541">
        <v>237250</v>
      </c>
      <c r="I131" s="3498">
        <f t="shared" si="5"/>
        <v>237250</v>
      </c>
      <c r="J131" s="3498">
        <f t="shared" si="3"/>
        <v>5</v>
      </c>
      <c r="K131" s="3545">
        <v>44903</v>
      </c>
      <c r="L131" s="3568">
        <v>44927</v>
      </c>
      <c r="M131" s="3502" t="s">
        <v>3530</v>
      </c>
      <c r="N131" s="3537" t="s">
        <v>3904</v>
      </c>
      <c r="O131" s="3558" t="s">
        <v>3776</v>
      </c>
      <c r="P131" s="3546">
        <v>45078</v>
      </c>
      <c r="Q131" s="3494" t="s">
        <v>3641</v>
      </c>
      <c r="R131" s="3491" t="s">
        <v>3642</v>
      </c>
      <c r="S131" s="3559" t="s">
        <v>3570</v>
      </c>
      <c r="T131" s="3562" t="s">
        <v>3571</v>
      </c>
      <c r="U131" s="3562" t="s">
        <v>3571</v>
      </c>
    </row>
    <row r="132" spans="1:21" s="3560" customFormat="1" ht="33.75" customHeight="1">
      <c r="A132" s="3491">
        <v>130</v>
      </c>
      <c r="B132" s="3574" t="s">
        <v>3905</v>
      </c>
      <c r="C132" s="3566" t="s">
        <v>3906</v>
      </c>
      <c r="D132" s="3550">
        <v>307</v>
      </c>
      <c r="E132" s="3541">
        <v>5</v>
      </c>
      <c r="F132" s="3541">
        <v>3</v>
      </c>
      <c r="G132" s="3541">
        <v>560275</v>
      </c>
      <c r="H132" s="3541">
        <v>336165</v>
      </c>
      <c r="I132" s="3498">
        <f t="shared" si="5"/>
        <v>896440</v>
      </c>
      <c r="J132" s="3498">
        <f t="shared" si="3"/>
        <v>8</v>
      </c>
      <c r="K132" s="3545">
        <v>44914</v>
      </c>
      <c r="L132" s="3545">
        <v>44914</v>
      </c>
      <c r="M132" s="3502" t="s">
        <v>3530</v>
      </c>
      <c r="N132" s="3537" t="s">
        <v>3619</v>
      </c>
      <c r="O132" s="3558" t="s">
        <v>3653</v>
      </c>
      <c r="P132" s="3546">
        <v>45097</v>
      </c>
      <c r="Q132" s="3494" t="s">
        <v>3777</v>
      </c>
      <c r="R132" s="3569">
        <v>2.5000000000000001E-2</v>
      </c>
      <c r="S132" s="3559" t="s">
        <v>3570</v>
      </c>
      <c r="T132" s="3495" t="s">
        <v>3571</v>
      </c>
      <c r="U132" s="3495" t="s">
        <v>3571</v>
      </c>
    </row>
    <row r="133" spans="1:21" s="3560" customFormat="1" ht="33.75" customHeight="1">
      <c r="A133" s="3491">
        <v>131</v>
      </c>
      <c r="B133" s="3574" t="s">
        <v>3907</v>
      </c>
      <c r="C133" s="3566" t="s">
        <v>3908</v>
      </c>
      <c r="D133" s="3550">
        <v>27</v>
      </c>
      <c r="E133" s="3541">
        <v>17</v>
      </c>
      <c r="F133" s="3541">
        <v>3</v>
      </c>
      <c r="G133" s="3541">
        <v>167535</v>
      </c>
      <c r="H133" s="3541">
        <v>29565</v>
      </c>
      <c r="I133" s="3498">
        <f t="shared" si="5"/>
        <v>197100</v>
      </c>
      <c r="J133" s="3498">
        <v>20</v>
      </c>
      <c r="K133" s="3557">
        <v>44932</v>
      </c>
      <c r="L133" s="3493">
        <v>44958</v>
      </c>
      <c r="M133" s="3502" t="s">
        <v>3530</v>
      </c>
      <c r="N133" s="3537" t="s">
        <v>3583</v>
      </c>
      <c r="O133" s="3558" t="s">
        <v>3776</v>
      </c>
      <c r="P133" s="3546">
        <v>45108</v>
      </c>
      <c r="Q133" s="3494" t="s">
        <v>3641</v>
      </c>
      <c r="R133" s="3491" t="s">
        <v>3642</v>
      </c>
      <c r="S133" s="3559" t="s">
        <v>3570</v>
      </c>
      <c r="T133" s="3495" t="s">
        <v>3571</v>
      </c>
      <c r="U133" s="3495" t="s">
        <v>3571</v>
      </c>
    </row>
    <row r="134" spans="1:21" s="3560" customFormat="1" ht="33.75" customHeight="1">
      <c r="A134" s="3491">
        <v>132</v>
      </c>
      <c r="B134" s="3574" t="s">
        <v>3909</v>
      </c>
      <c r="C134" s="3566" t="s">
        <v>3910</v>
      </c>
      <c r="D134" s="3550">
        <v>690</v>
      </c>
      <c r="E134" s="3541"/>
      <c r="F134" s="3541">
        <v>4</v>
      </c>
      <c r="G134" s="3541"/>
      <c r="H134" s="3541">
        <v>1007400</v>
      </c>
      <c r="I134" s="3498">
        <f t="shared" si="5"/>
        <v>1007400</v>
      </c>
      <c r="J134" s="3498">
        <v>4</v>
      </c>
      <c r="K134" s="3557">
        <v>44943</v>
      </c>
      <c r="L134" s="3493">
        <v>44991</v>
      </c>
      <c r="M134" s="3502" t="s">
        <v>3530</v>
      </c>
      <c r="N134" s="3537" t="s">
        <v>3742</v>
      </c>
      <c r="O134" s="3558" t="s">
        <v>3653</v>
      </c>
      <c r="P134" s="3546">
        <v>45158</v>
      </c>
      <c r="Q134" s="3494" t="s">
        <v>3911</v>
      </c>
      <c r="R134" s="3569">
        <v>4.2500000000000003E-2</v>
      </c>
      <c r="S134" s="3559" t="s">
        <v>3570</v>
      </c>
      <c r="T134" s="3562" t="s">
        <v>3571</v>
      </c>
      <c r="U134" s="3562" t="s">
        <v>3571</v>
      </c>
    </row>
    <row r="135" spans="1:21" s="3560" customFormat="1" ht="33.75" customHeight="1">
      <c r="A135" s="3491">
        <v>133</v>
      </c>
      <c r="B135" s="3574" t="s">
        <v>3912</v>
      </c>
      <c r="C135" s="3544" t="s">
        <v>3913</v>
      </c>
      <c r="D135" s="3550">
        <v>240</v>
      </c>
      <c r="E135" s="3541"/>
      <c r="F135" s="3541">
        <v>5</v>
      </c>
      <c r="G135" s="3541"/>
      <c r="H135" s="3541">
        <v>43800</v>
      </c>
      <c r="I135" s="3498">
        <f t="shared" si="5"/>
        <v>43800</v>
      </c>
      <c r="J135" s="3498">
        <v>4</v>
      </c>
      <c r="K135" s="3557">
        <v>44967</v>
      </c>
      <c r="L135" s="3493">
        <v>44986</v>
      </c>
      <c r="M135" s="3502" t="s">
        <v>3530</v>
      </c>
      <c r="N135" s="3537" t="s">
        <v>3583</v>
      </c>
      <c r="O135" s="3558" t="s">
        <v>3579</v>
      </c>
      <c r="P135" s="3546">
        <v>45200</v>
      </c>
      <c r="Q135" s="3494" t="s">
        <v>3914</v>
      </c>
      <c r="R135" s="3569">
        <v>0.1</v>
      </c>
      <c r="S135" s="3559" t="s">
        <v>3570</v>
      </c>
      <c r="T135" s="3562" t="s">
        <v>3571</v>
      </c>
      <c r="U135" s="3562" t="s">
        <v>3571</v>
      </c>
    </row>
    <row r="136" spans="1:21" s="3560" customFormat="1" ht="33.75" customHeight="1">
      <c r="A136" s="3491"/>
      <c r="B136" s="3574"/>
      <c r="C136" s="3566"/>
      <c r="D136" s="3550"/>
      <c r="E136" s="3541"/>
      <c r="F136" s="3541"/>
      <c r="G136" s="3541"/>
      <c r="H136" s="3541"/>
      <c r="I136" s="3498"/>
      <c r="J136" s="3498"/>
      <c r="K136" s="3557"/>
      <c r="L136" s="3493"/>
      <c r="M136" s="3502"/>
      <c r="N136" s="3491"/>
      <c r="O136" s="3558"/>
      <c r="P136" s="3546"/>
      <c r="Q136" s="3494"/>
      <c r="R136" s="3562"/>
      <c r="S136" s="3559"/>
      <c r="T136" s="3562"/>
      <c r="U136" s="3562"/>
    </row>
    <row r="137" spans="1:21" s="3560" customFormat="1" ht="33.75" customHeight="1">
      <c r="A137" s="3491"/>
      <c r="B137" s="3574"/>
      <c r="C137" s="3566"/>
      <c r="D137" s="3550"/>
      <c r="E137" s="3541"/>
      <c r="F137" s="3541"/>
      <c r="G137" s="3541"/>
      <c r="H137" s="3541"/>
      <c r="I137" s="3498"/>
      <c r="J137" s="3498"/>
      <c r="K137" s="3557"/>
      <c r="L137" s="3493"/>
      <c r="M137" s="3502"/>
      <c r="N137" s="3491"/>
      <c r="O137" s="3558"/>
      <c r="P137" s="3546"/>
      <c r="Q137" s="3494"/>
      <c r="R137" s="3562"/>
      <c r="S137" s="3559"/>
      <c r="T137" s="3562"/>
      <c r="U137" s="3562"/>
    </row>
    <row r="138" spans="1:21" s="3560" customFormat="1" ht="33.75" customHeight="1">
      <c r="A138" s="3491"/>
      <c r="B138" s="3574"/>
      <c r="C138" s="3566"/>
      <c r="D138" s="3550"/>
      <c r="E138" s="3541"/>
      <c r="F138" s="3541"/>
      <c r="G138" s="3541"/>
      <c r="H138" s="3541"/>
      <c r="I138" s="3498"/>
      <c r="J138" s="3498"/>
      <c r="K138" s="3557"/>
      <c r="L138" s="3493"/>
      <c r="M138" s="3502"/>
      <c r="N138" s="3491"/>
      <c r="O138" s="3558"/>
      <c r="P138" s="3546"/>
      <c r="Q138" s="3494"/>
      <c r="R138" s="3562"/>
      <c r="S138" s="3559"/>
      <c r="T138" s="3562"/>
      <c r="U138" s="3562"/>
    </row>
    <row r="139" spans="1:21" s="3560" customFormat="1" ht="33.75" customHeight="1">
      <c r="A139" s="3491"/>
      <c r="B139" s="3574"/>
      <c r="C139" s="3566"/>
      <c r="D139" s="3550"/>
      <c r="E139" s="3541"/>
      <c r="F139" s="3541"/>
      <c r="G139" s="3541"/>
      <c r="H139" s="3541"/>
      <c r="I139" s="3498"/>
      <c r="J139" s="3498"/>
      <c r="K139" s="3557"/>
      <c r="L139" s="3493"/>
      <c r="M139" s="3502"/>
      <c r="N139" s="3491"/>
      <c r="O139" s="3558"/>
      <c r="P139" s="3546"/>
      <c r="Q139" s="3494"/>
      <c r="R139" s="3562"/>
      <c r="S139" s="3559"/>
      <c r="T139" s="3562"/>
      <c r="U139" s="3562"/>
    </row>
    <row r="140" spans="1:21" s="3560" customFormat="1" ht="33.75" customHeight="1">
      <c r="A140" s="3491"/>
      <c r="B140" s="3574"/>
      <c r="C140" s="3566"/>
      <c r="D140" s="3550"/>
      <c r="E140" s="3541"/>
      <c r="F140" s="3541"/>
      <c r="G140" s="3541"/>
      <c r="H140" s="3541"/>
      <c r="I140" s="3498"/>
      <c r="J140" s="3498"/>
      <c r="K140" s="3557"/>
      <c r="L140" s="3493"/>
      <c r="M140" s="3502"/>
      <c r="N140" s="3491"/>
      <c r="O140" s="3558"/>
      <c r="P140" s="3546"/>
      <c r="Q140" s="3494"/>
      <c r="R140" s="3562"/>
      <c r="S140" s="3559"/>
      <c r="T140" s="3562"/>
      <c r="U140" s="3562"/>
    </row>
    <row r="141" spans="1:21" s="3560" customFormat="1" ht="33.75" customHeight="1">
      <c r="A141" s="3491"/>
      <c r="B141" s="3574"/>
      <c r="C141" s="3566"/>
      <c r="D141" s="3550"/>
      <c r="E141" s="3541"/>
      <c r="F141" s="3541"/>
      <c r="G141" s="3541"/>
      <c r="H141" s="3541"/>
      <c r="I141" s="3498"/>
      <c r="J141" s="3498"/>
      <c r="K141" s="3557"/>
      <c r="L141" s="3493"/>
      <c r="M141" s="3502"/>
      <c r="N141" s="3491"/>
      <c r="O141" s="3558"/>
      <c r="P141" s="3546"/>
      <c r="Q141" s="3494"/>
      <c r="R141" s="3562"/>
      <c r="S141" s="3559"/>
      <c r="T141" s="3562"/>
      <c r="U141" s="3562"/>
    </row>
    <row r="142" spans="1:21" s="3560" customFormat="1" ht="33.75" customHeight="1">
      <c r="A142" s="3491"/>
      <c r="B142" s="3574"/>
      <c r="C142" s="3566"/>
      <c r="D142" s="3550"/>
      <c r="E142" s="3541"/>
      <c r="F142" s="3541"/>
      <c r="G142" s="3541"/>
      <c r="H142" s="3541"/>
      <c r="I142" s="3498"/>
      <c r="J142" s="3498"/>
      <c r="K142" s="3557"/>
      <c r="L142" s="3493"/>
      <c r="M142" s="3502"/>
      <c r="N142" s="3491"/>
      <c r="O142" s="3558"/>
      <c r="P142" s="3546"/>
      <c r="Q142" s="3494"/>
      <c r="R142" s="3562"/>
      <c r="S142" s="3559"/>
      <c r="T142" s="3562"/>
      <c r="U142" s="3562"/>
    </row>
    <row r="143" spans="1:21" s="3560" customFormat="1" ht="33.75" customHeight="1">
      <c r="A143" s="3491"/>
      <c r="B143" s="3574"/>
      <c r="C143" s="3566"/>
      <c r="D143" s="3550"/>
      <c r="E143" s="3541"/>
      <c r="F143" s="3541"/>
      <c r="G143" s="3541"/>
      <c r="H143" s="3541"/>
      <c r="I143" s="3498"/>
      <c r="J143" s="3498"/>
      <c r="K143" s="3557"/>
      <c r="L143" s="3493"/>
      <c r="M143" s="3502"/>
      <c r="N143" s="3491"/>
      <c r="O143" s="3558"/>
      <c r="P143" s="3546"/>
      <c r="Q143" s="3494"/>
      <c r="R143" s="3562"/>
      <c r="S143" s="3559"/>
      <c r="T143" s="3562"/>
      <c r="U143" s="3562"/>
    </row>
    <row r="144" spans="1:21" s="3560" customFormat="1" ht="33.75" customHeight="1">
      <c r="A144" s="3491"/>
      <c r="B144" s="3574"/>
      <c r="C144" s="3566"/>
      <c r="D144" s="3550"/>
      <c r="E144" s="3541"/>
      <c r="F144" s="3541"/>
      <c r="G144" s="3541"/>
      <c r="H144" s="3541"/>
      <c r="I144" s="3498"/>
      <c r="J144" s="3498"/>
      <c r="K144" s="3557"/>
      <c r="L144" s="3493"/>
      <c r="M144" s="3502"/>
      <c r="N144" s="3491"/>
      <c r="O144" s="3558"/>
      <c r="P144" s="3546"/>
      <c r="Q144" s="3494"/>
      <c r="R144" s="3562"/>
      <c r="S144" s="3559"/>
      <c r="T144" s="3562"/>
      <c r="U144" s="3562"/>
    </row>
    <row r="145" spans="1:21" s="3560" customFormat="1" ht="33.75" customHeight="1">
      <c r="A145" s="3491"/>
      <c r="B145" s="3574"/>
      <c r="C145" s="3566"/>
      <c r="D145" s="3550"/>
      <c r="E145" s="3541"/>
      <c r="F145" s="3541"/>
      <c r="G145" s="3541"/>
      <c r="H145" s="3541"/>
      <c r="I145" s="3498"/>
      <c r="J145" s="3498"/>
      <c r="K145" s="3557"/>
      <c r="L145" s="3493"/>
      <c r="M145" s="3502"/>
      <c r="N145" s="3491"/>
      <c r="O145" s="3558"/>
      <c r="P145" s="3546"/>
      <c r="Q145" s="3494"/>
      <c r="R145" s="3562"/>
      <c r="S145" s="3559"/>
      <c r="T145" s="3562"/>
      <c r="U145" s="3562"/>
    </row>
    <row r="146" spans="1:21" s="3560" customFormat="1" ht="33.75" customHeight="1">
      <c r="A146" s="3491"/>
      <c r="B146" s="3574"/>
      <c r="C146" s="3566"/>
      <c r="D146" s="3550"/>
      <c r="E146" s="3541"/>
      <c r="F146" s="3541"/>
      <c r="G146" s="3541"/>
      <c r="H146" s="3541"/>
      <c r="I146" s="3498"/>
      <c r="J146" s="3498"/>
      <c r="K146" s="3557"/>
      <c r="L146" s="3493"/>
      <c r="M146" s="3502"/>
      <c r="N146" s="3491"/>
      <c r="O146" s="3558"/>
      <c r="P146" s="3546"/>
      <c r="Q146" s="3494"/>
      <c r="R146" s="3562"/>
      <c r="S146" s="3559"/>
      <c r="T146" s="3562"/>
      <c r="U146" s="3562"/>
    </row>
    <row r="147" spans="1:21" s="3560" customFormat="1" ht="33.75" customHeight="1">
      <c r="A147" s="3491"/>
      <c r="B147" s="3574"/>
      <c r="C147" s="3566"/>
      <c r="D147" s="3550"/>
      <c r="E147" s="3541"/>
      <c r="F147" s="3541"/>
      <c r="G147" s="3541"/>
      <c r="H147" s="3541"/>
      <c r="I147" s="3498"/>
      <c r="J147" s="3498"/>
      <c r="K147" s="3557"/>
      <c r="L147" s="3493"/>
      <c r="M147" s="3502"/>
      <c r="N147" s="3491"/>
      <c r="O147" s="3558"/>
      <c r="P147" s="3546"/>
      <c r="Q147" s="3494"/>
      <c r="R147" s="3562"/>
      <c r="S147" s="3559"/>
      <c r="T147" s="3562"/>
      <c r="U147" s="3562"/>
    </row>
    <row r="148" spans="1:21" s="3560" customFormat="1" ht="33.75" customHeight="1">
      <c r="A148" s="3491"/>
      <c r="B148" s="3565"/>
      <c r="C148" s="3563"/>
      <c r="D148" s="3564"/>
      <c r="E148" s="3498"/>
      <c r="F148" s="3498"/>
      <c r="G148" s="3498"/>
      <c r="H148" s="3498"/>
      <c r="I148" s="3498"/>
      <c r="J148" s="3498"/>
      <c r="K148" s="3557"/>
      <c r="L148" s="3493"/>
      <c r="M148" s="3502"/>
      <c r="N148" s="3491"/>
      <c r="O148" s="3558"/>
      <c r="P148" s="3546"/>
      <c r="Q148" s="3494"/>
      <c r="R148" s="3562"/>
      <c r="S148" s="3559"/>
      <c r="T148" s="3562"/>
      <c r="U148" s="3562"/>
    </row>
    <row r="149" spans="1:21" s="3560" customFormat="1" ht="33.75" customHeight="1">
      <c r="A149" s="3491"/>
      <c r="B149" s="3494"/>
      <c r="C149" s="3504"/>
      <c r="D149" s="3534"/>
      <c r="E149" s="3498"/>
      <c r="F149" s="3498"/>
      <c r="G149" s="3498"/>
      <c r="H149" s="3498"/>
      <c r="I149" s="3498"/>
      <c r="J149" s="3498"/>
      <c r="K149" s="3577"/>
      <c r="L149" s="3557"/>
      <c r="M149" s="3562"/>
      <c r="N149" s="3491"/>
      <c r="O149" s="3491"/>
      <c r="P149" s="3562"/>
      <c r="Q149" s="3494"/>
      <c r="R149" s="3562"/>
      <c r="S149" s="3562"/>
      <c r="T149" s="3562"/>
      <c r="U149" s="3562"/>
    </row>
    <row r="150" spans="1:21" s="3539" customFormat="1" ht="22.95" customHeight="1">
      <c r="A150" s="3943" t="s">
        <v>3915</v>
      </c>
      <c r="B150" s="3943"/>
      <c r="C150" s="3944">
        <v>47559</v>
      </c>
      <c r="D150" s="3498" t="s">
        <v>3916</v>
      </c>
      <c r="E150" s="3578">
        <f>D153/C150</f>
        <v>0.9865598519733384</v>
      </c>
      <c r="F150" s="3579"/>
      <c r="G150" s="3498"/>
      <c r="H150" s="3498"/>
      <c r="I150" s="3498"/>
      <c r="J150" s="3498"/>
      <c r="K150" s="3577"/>
      <c r="L150" s="3577"/>
      <c r="M150" s="3580"/>
      <c r="N150" s="3580"/>
      <c r="O150" s="3580"/>
      <c r="P150" s="3492"/>
      <c r="Q150" s="3494"/>
      <c r="R150" s="3491"/>
      <c r="S150" s="3491"/>
      <c r="T150" s="3533"/>
      <c r="U150" s="3533"/>
    </row>
    <row r="151" spans="1:21" s="3539" customFormat="1" ht="22.95" customHeight="1">
      <c r="A151" s="3943"/>
      <c r="B151" s="3943"/>
      <c r="C151" s="3945"/>
      <c r="D151" s="3498" t="s">
        <v>3917</v>
      </c>
      <c r="E151" s="3578"/>
      <c r="F151" s="3579"/>
      <c r="G151" s="3498"/>
      <c r="H151" s="3498"/>
      <c r="I151" s="3498"/>
      <c r="J151" s="3498"/>
      <c r="K151" s="3577"/>
      <c r="L151" s="3577"/>
      <c r="M151" s="3580"/>
      <c r="N151" s="3580"/>
      <c r="O151" s="3580"/>
      <c r="P151" s="3492"/>
      <c r="Q151" s="3494"/>
      <c r="R151" s="3491"/>
      <c r="S151" s="3491"/>
      <c r="T151" s="3533"/>
      <c r="U151" s="3533"/>
    </row>
    <row r="152" spans="1:21" s="3539" customFormat="1" ht="22.95" customHeight="1">
      <c r="A152" s="3943"/>
      <c r="B152" s="3943"/>
      <c r="C152" s="3946"/>
      <c r="D152" s="3498" t="s">
        <v>3918</v>
      </c>
      <c r="E152" s="3578"/>
      <c r="F152" s="3579"/>
      <c r="G152" s="3498"/>
      <c r="H152" s="3498"/>
      <c r="I152" s="3498"/>
      <c r="J152" s="3498"/>
      <c r="K152" s="3577"/>
      <c r="L152" s="3577"/>
      <c r="M152" s="3580"/>
      <c r="N152" s="3580"/>
      <c r="O152" s="3580"/>
      <c r="P152" s="3577"/>
      <c r="Q152" s="3581"/>
      <c r="R152" s="3580"/>
      <c r="S152" s="3580"/>
      <c r="T152" s="3533"/>
      <c r="U152" s="3533"/>
    </row>
    <row r="153" spans="1:21" s="3539" customFormat="1" ht="22.95" customHeight="1">
      <c r="A153" s="3947" t="s">
        <v>3919</v>
      </c>
      <c r="B153" s="3947"/>
      <c r="C153" s="3582"/>
      <c r="D153" s="3583">
        <f>SUM(D3:D149)</f>
        <v>46919.8</v>
      </c>
      <c r="E153" s="3584"/>
      <c r="F153" s="3585"/>
      <c r="G153" s="3586">
        <f>SUM(G3:G149)</f>
        <v>58684881.880000003</v>
      </c>
      <c r="H153" s="3586">
        <f>SUM(H3:H149)</f>
        <v>35593484.18</v>
      </c>
      <c r="I153" s="3586">
        <f>SUM(I3:I149)</f>
        <v>94278366.059999987</v>
      </c>
      <c r="J153" s="3586"/>
      <c r="K153" s="3587"/>
      <c r="L153" s="3577"/>
      <c r="M153" s="3580"/>
      <c r="N153" s="3580"/>
      <c r="O153" s="3580"/>
      <c r="P153" s="3577"/>
      <c r="Q153" s="3581"/>
      <c r="R153" s="3588"/>
      <c r="S153" s="3580"/>
      <c r="T153" s="3533"/>
      <c r="U153" s="3533"/>
    </row>
  </sheetData>
  <mergeCells count="4">
    <mergeCell ref="A1:S1"/>
    <mergeCell ref="A150:B152"/>
    <mergeCell ref="C150:C152"/>
    <mergeCell ref="A153:B153"/>
  </mergeCells>
  <phoneticPr fontId="134" type="noConversion"/>
  <dataValidations count="1">
    <dataValidation type="list" allowBlank="1" showInputMessage="1" showErrorMessage="1" sqref="M120:M153 M16:M18 M25:M118">
      <formula1>"1,2,3,6,12"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614" t="s">
        <v>945</v>
      </c>
      <c r="B1" s="3614"/>
      <c r="C1" s="3614"/>
      <c r="D1" s="3614"/>
    </row>
    <row r="2" spans="1:4" ht="17.399999999999999">
      <c r="A2" s="3615" t="s">
        <v>929</v>
      </c>
      <c r="B2" s="3615"/>
      <c r="C2" s="3615"/>
      <c r="D2" s="3615"/>
    </row>
    <row r="3" spans="1:4" ht="17.399999999999999">
      <c r="A3" s="1505" t="s">
        <v>930</v>
      </c>
      <c r="B3" s="1505" t="s">
        <v>931</v>
      </c>
      <c r="C3" s="1505" t="s">
        <v>932</v>
      </c>
      <c r="D3" s="1505" t="s">
        <v>933</v>
      </c>
    </row>
    <row r="4" spans="1:4" ht="56.25" customHeight="1">
      <c r="A4" s="1506">
        <f>项目基本情况!B4</f>
        <v>0</v>
      </c>
      <c r="B4" s="1507">
        <f>项目基本情况!C4</f>
        <v>0</v>
      </c>
      <c r="C4" s="1508"/>
      <c r="D4" s="1509" t="s">
        <v>934</v>
      </c>
    </row>
    <row r="5" spans="1:4" ht="56.25" customHeight="1">
      <c r="A5" s="1506">
        <f>项目基本情况!D4</f>
        <v>0</v>
      </c>
      <c r="B5" s="1507">
        <f>项目基本情况!E4</f>
        <v>0</v>
      </c>
      <c r="C5" s="1510"/>
      <c r="D5" s="1509" t="s">
        <v>934</v>
      </c>
    </row>
    <row r="6" spans="1:4" ht="17.399999999999999">
      <c r="A6" s="3615" t="s">
        <v>935</v>
      </c>
      <c r="B6" s="3615"/>
      <c r="C6" s="3615"/>
      <c r="D6" s="3615"/>
    </row>
    <row r="7" spans="1:4" ht="17.399999999999999">
      <c r="A7" s="1505" t="s">
        <v>930</v>
      </c>
      <c r="B7" s="1507" t="s">
        <v>936</v>
      </c>
      <c r="C7" s="1505" t="s">
        <v>932</v>
      </c>
      <c r="D7" s="1505" t="s">
        <v>933</v>
      </c>
    </row>
    <row r="8" spans="1:4" ht="56.25" customHeight="1">
      <c r="A8" s="1511" t="s">
        <v>390</v>
      </c>
      <c r="B8" s="1511" t="s">
        <v>0</v>
      </c>
      <c r="C8" s="1508"/>
      <c r="D8" s="1509" t="s">
        <v>934</v>
      </c>
    </row>
    <row r="9" spans="1:4">
      <c r="A9" s="673"/>
      <c r="B9" s="673"/>
      <c r="C9" s="673"/>
      <c r="D9" s="673"/>
    </row>
    <row r="10" spans="1:4" ht="17.399999999999999">
      <c r="A10" s="1512" t="s">
        <v>937</v>
      </c>
      <c r="B10" s="673"/>
      <c r="C10" s="673"/>
      <c r="D10" s="673"/>
    </row>
    <row r="11" spans="1:4" ht="30" customHeight="1">
      <c r="A11" s="3616" t="s">
        <v>938</v>
      </c>
      <c r="B11" s="3617"/>
      <c r="C11" s="3617"/>
      <c r="D11" s="3617"/>
    </row>
    <row r="12" spans="1:4" ht="15.6">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spans="1:4" ht="30" customHeight="1">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spans="1:4" ht="15.75" customHeight="1">
      <c r="A14" s="3617" t="str">
        <f>IF(项目基本情况!B8="抵押","4.本次评估估价师所知悉的法定优先受偿款情况说明如下：","——")</f>
        <v>4.本次评估估价师所知悉的法定优先受偿款情况说明如下：</v>
      </c>
      <c r="B14" s="3618"/>
      <c r="C14" s="3618"/>
      <c r="D14" s="3618"/>
    </row>
    <row r="15" spans="1:4" ht="42" customHeight="1">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spans="1:4" ht="30" customHeight="1">
      <c r="A16" s="3620" t="s">
        <v>939</v>
      </c>
      <c r="B16" s="3620"/>
      <c r="C16" s="3620"/>
      <c r="D16" s="3620"/>
    </row>
    <row r="17" spans="1:4" ht="144" customHeight="1">
      <c r="A17" s="3620" t="s">
        <v>940</v>
      </c>
      <c r="B17" s="3620"/>
      <c r="C17" s="3620"/>
      <c r="D17" s="3620"/>
    </row>
    <row r="18" spans="1:4" ht="15.75" customHeight="1">
      <c r="A18" s="3617" t="str">
        <f>IF(项目基本情况!B8="抵押",结果表!K120,"——")</f>
        <v>故，本次评估不存在估价师知悉的法定优先受偿款</v>
      </c>
      <c r="B18" s="3617"/>
      <c r="C18" s="3617"/>
      <c r="D18" s="3617"/>
    </row>
    <row r="19" spans="1:4" ht="46.5" customHeight="1">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spans="1:4" ht="57.75" customHeight="1">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spans="1:4" ht="57.75" customHeight="1">
      <c r="A21" s="36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1"/>
      <c r="C21" s="3621"/>
      <c r="D21" s="3621"/>
    </row>
    <row r="22" spans="1:4" ht="18.75" customHeight="1">
      <c r="A22" s="3622" t="s">
        <v>941</v>
      </c>
      <c r="B22" s="3622"/>
      <c r="C22" s="3622"/>
      <c r="D22" s="3622"/>
    </row>
    <row r="23" spans="1:4">
      <c r="A23" s="1513"/>
      <c r="B23" s="1485"/>
      <c r="C23" s="1485"/>
      <c r="D23" s="1485"/>
    </row>
    <row r="24" spans="1:4">
      <c r="A24" s="1513"/>
      <c r="B24" s="1485"/>
      <c r="C24" s="1485"/>
      <c r="D24" s="1485"/>
    </row>
    <row r="25" spans="1:4" ht="17.399999999999999">
      <c r="A25" s="1514" t="s">
        <v>942</v>
      </c>
    </row>
    <row r="26" spans="1:4" ht="17.399999999999999">
      <c r="A26" s="1483"/>
    </row>
    <row r="27" spans="1:4" ht="17.399999999999999">
      <c r="A27" s="1483" t="s">
        <v>943</v>
      </c>
    </row>
    <row r="30" spans="1:4" ht="17.399999999999999">
      <c r="D30" s="1514" t="s">
        <v>944</v>
      </c>
    </row>
    <row r="31" spans="1:4" ht="13.5" customHeight="1">
      <c r="C31" s="3619">
        <v>42551</v>
      </c>
      <c r="D31" s="36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946</v>
      </c>
    </row>
    <row r="3" spans="1:7">
      <c r="A3" s="1519" t="s">
        <v>55</v>
      </c>
      <c r="B3" s="1503" t="s">
        <v>947</v>
      </c>
      <c r="G3" s="1520"/>
    </row>
    <row r="4" spans="1:7">
      <c r="G4" s="1520"/>
    </row>
    <row r="5" spans="1:7">
      <c r="A5" s="1522" t="s">
        <v>46</v>
      </c>
      <c r="B5" s="1503" t="s">
        <v>948</v>
      </c>
      <c r="G5" s="1520"/>
    </row>
    <row r="6" spans="1:7">
      <c r="G6" s="1520"/>
    </row>
    <row r="7" spans="1:7">
      <c r="A7" s="1523" t="s">
        <v>108</v>
      </c>
      <c r="B7" s="1503" t="s">
        <v>949</v>
      </c>
      <c r="G7" s="1520"/>
    </row>
    <row r="8" spans="1:7">
      <c r="G8" s="1520"/>
    </row>
    <row r="9" spans="1:7">
      <c r="A9" s="1524" t="s">
        <v>47</v>
      </c>
      <c r="B9" s="1503" t="s">
        <v>950</v>
      </c>
    </row>
    <row r="11" spans="1:7">
      <c r="A11" s="1525" t="s">
        <v>48</v>
      </c>
      <c r="B11" s="1526" t="s">
        <v>45</v>
      </c>
    </row>
    <row r="13" spans="1:7">
      <c r="A13" s="1527" t="s">
        <v>951</v>
      </c>
    </row>
    <row r="15" spans="1:7" ht="14.4">
      <c r="A15" s="3628" t="s">
        <v>952</v>
      </c>
      <c r="B15" s="3623" t="s">
        <v>109</v>
      </c>
      <c r="C15" s="3624"/>
    </row>
    <row r="16" spans="1:7" ht="14.4">
      <c r="A16" s="3629"/>
      <c r="B16" s="3623" t="s">
        <v>42</v>
      </c>
      <c r="C16" s="3624"/>
    </row>
    <row r="17" spans="1:3" ht="14.4">
      <c r="A17" s="3629"/>
      <c r="B17" s="3626" t="s">
        <v>953</v>
      </c>
      <c r="C17" s="1528" t="s">
        <v>952</v>
      </c>
    </row>
    <row r="18" spans="1:3" ht="14.4">
      <c r="A18" s="3629"/>
      <c r="B18" s="3626"/>
      <c r="C18" s="1528" t="s">
        <v>954</v>
      </c>
    </row>
    <row r="19" spans="1:3" ht="14.4">
      <c r="A19" s="3629"/>
      <c r="B19" s="3626"/>
      <c r="C19" s="1528" t="s">
        <v>955</v>
      </c>
    </row>
    <row r="20" spans="1:3" ht="14.4">
      <c r="A20" s="3630"/>
      <c r="B20" s="3625" t="s">
        <v>956</v>
      </c>
      <c r="C20" s="3624"/>
    </row>
    <row r="21" spans="1:3" ht="14.4">
      <c r="A21" s="1529" t="s">
        <v>957</v>
      </c>
      <c r="B21" s="1530"/>
      <c r="C21" s="1531"/>
    </row>
    <row r="22" spans="1:3" ht="14.4">
      <c r="A22" s="3627" t="s">
        <v>958</v>
      </c>
      <c r="B22" s="3625" t="s">
        <v>959</v>
      </c>
      <c r="C22" s="3624"/>
    </row>
    <row r="23" spans="1:3" ht="14.4">
      <c r="A23" s="3627"/>
      <c r="B23" s="3625" t="s">
        <v>960</v>
      </c>
      <c r="C23" s="3624"/>
    </row>
    <row r="24" spans="1:3" ht="14.4">
      <c r="A24" s="3627"/>
      <c r="B24" s="3625" t="s">
        <v>961</v>
      </c>
      <c r="C24" s="3624"/>
    </row>
    <row r="25" spans="1:3" ht="14.4">
      <c r="A25" s="3627"/>
      <c r="B25" s="3626" t="s">
        <v>962</v>
      </c>
      <c r="C25" s="1528" t="s">
        <v>963</v>
      </c>
    </row>
    <row r="26" spans="1:3" ht="14.4">
      <c r="A26" s="3627"/>
      <c r="B26" s="3626"/>
      <c r="C26" s="1528" t="s">
        <v>964</v>
      </c>
    </row>
    <row r="27" spans="1:3" ht="14.4">
      <c r="A27" s="3627"/>
      <c r="B27" s="3626"/>
      <c r="C27" s="1528" t="s">
        <v>965</v>
      </c>
    </row>
    <row r="28" spans="1:3" ht="14.4">
      <c r="A28" s="3627"/>
      <c r="B28" s="3626"/>
      <c r="C28" s="1528" t="s">
        <v>966</v>
      </c>
    </row>
    <row r="29" spans="1:3" ht="14.4">
      <c r="A29" s="3627"/>
      <c r="B29" s="3626"/>
      <c r="C29" s="1528" t="s">
        <v>967</v>
      </c>
    </row>
    <row r="30" spans="1:3" ht="14.4">
      <c r="A30" s="3627"/>
      <c r="B30" s="3626"/>
      <c r="C30" s="1528" t="s">
        <v>968</v>
      </c>
    </row>
    <row r="31" spans="1:3" ht="14.4">
      <c r="A31" s="3627"/>
      <c r="B31" s="3626"/>
      <c r="C31" s="1528" t="s">
        <v>969</v>
      </c>
    </row>
    <row r="32" spans="1:3" ht="14.4">
      <c r="A32" s="3627"/>
      <c r="B32" s="3626"/>
      <c r="C32" s="1528" t="s">
        <v>970</v>
      </c>
    </row>
    <row r="33" spans="1:3" ht="14.4">
      <c r="A33" s="3627"/>
      <c r="B33" s="3626"/>
      <c r="C33" s="1528" t="s">
        <v>971</v>
      </c>
    </row>
    <row r="34" spans="1:3">
      <c r="A34" s="1532" t="s">
        <v>49</v>
      </c>
    </row>
    <row r="37" spans="1:3">
      <c r="A37" s="1532" t="s">
        <v>972</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3" customWidth="1"/>
    <col min="2" max="2" width="38.6640625" style="2333" customWidth="1"/>
    <col min="3" max="3" width="26" style="2333" customWidth="1"/>
    <col min="4" max="4" width="35" style="2333" hidden="1" customWidth="1"/>
    <col min="5" max="5" width="30.109375" style="2333" customWidth="1"/>
    <col min="6" max="6" width="35.44140625" style="2333" customWidth="1"/>
    <col min="7" max="7" width="31" style="2333" customWidth="1"/>
    <col min="8" max="8" width="37.44140625" style="2333" hidden="1" customWidth="1"/>
    <col min="9" max="16384" width="22.6640625" style="2333"/>
  </cols>
  <sheetData>
    <row r="1" spans="1:8" ht="24" customHeight="1">
      <c r="A1" s="2332"/>
      <c r="B1" s="2332"/>
      <c r="C1" s="2332"/>
      <c r="D1" s="2332"/>
      <c r="E1" s="2332"/>
      <c r="F1" s="2332"/>
      <c r="G1" s="2332"/>
      <c r="H1" s="2332"/>
    </row>
    <row r="2" spans="1:8" ht="24" customHeight="1">
      <c r="A2" s="2334" t="s">
        <v>2135</v>
      </c>
      <c r="B2" s="2335">
        <f ca="1">TODAY()</f>
        <v>45090</v>
      </c>
      <c r="C2" s="2336" t="s">
        <v>2136</v>
      </c>
      <c r="D2" s="2336"/>
      <c r="E2" s="2336"/>
      <c r="F2" s="2332"/>
      <c r="G2" s="2332"/>
      <c r="H2" s="2332"/>
    </row>
    <row r="3" spans="1:8" ht="24" customHeight="1">
      <c r="A3" s="2337" t="s">
        <v>2137</v>
      </c>
      <c r="B3" s="2338" t="s">
        <v>2138</v>
      </c>
      <c r="C3" s="2338" t="s">
        <v>2139</v>
      </c>
      <c r="D3" s="2339" t="s">
        <v>2140</v>
      </c>
      <c r="E3" s="2340" t="s">
        <v>2141</v>
      </c>
      <c r="F3" s="1300" t="s">
        <v>2142</v>
      </c>
      <c r="G3" s="2338" t="s">
        <v>2139</v>
      </c>
      <c r="H3" s="2339" t="s">
        <v>2143</v>
      </c>
    </row>
    <row r="4" spans="1:8" ht="24" customHeight="1">
      <c r="A4" s="1300" t="s">
        <v>2144</v>
      </c>
      <c r="B4" s="1300">
        <f ca="1">IF(C4&lt;B2,"已过期",1119970066)</f>
        <v>1119970066</v>
      </c>
      <c r="C4" s="2341">
        <v>45937</v>
      </c>
      <c r="D4" s="2342" t="str">
        <f ca="1">A4&amp;"（注册号："&amp;B4&amp;"）"</f>
        <v>梁津（注册号：1119970066）</v>
      </c>
      <c r="E4" s="2343" t="s">
        <v>2144</v>
      </c>
      <c r="F4" s="1300">
        <f ca="1">IF(G4&lt;B2,"已过期",96010014)</f>
        <v>96010014</v>
      </c>
      <c r="G4" s="2344">
        <v>47118</v>
      </c>
      <c r="H4" s="2345" t="str">
        <f ca="1">E4&amp;"（注册号："&amp;F4&amp;"）"</f>
        <v>梁津（注册号：96010014）</v>
      </c>
    </row>
    <row r="5" spans="1:8" ht="24" customHeight="1">
      <c r="A5" s="1300" t="s">
        <v>2145</v>
      </c>
      <c r="B5" s="1300">
        <f ca="1">IF(C5&lt;B2,"已过期",1119970111)</f>
        <v>1119970111</v>
      </c>
      <c r="C5" s="2341">
        <v>45937</v>
      </c>
      <c r="D5" s="2342" t="str">
        <f t="shared" ref="D5:D15" ca="1" si="0">A5&amp;"（注册号："&amp;B5&amp;"）"</f>
        <v>叶凌（注册号：1119970111）</v>
      </c>
      <c r="E5" s="2343" t="s">
        <v>2145</v>
      </c>
      <c r="F5" s="1300">
        <f ca="1">IF(G5&lt;B2,"已过期",94010078)</f>
        <v>94010078</v>
      </c>
      <c r="G5" s="2344">
        <v>46387</v>
      </c>
      <c r="H5" s="2345" t="str">
        <f t="shared" ref="H5:H16" ca="1" si="1">E5&amp;"（注册号："&amp;F5&amp;"）"</f>
        <v>叶凌（注册号：94010078）</v>
      </c>
    </row>
    <row r="6" spans="1:8" ht="24" customHeight="1">
      <c r="A6" s="1300" t="s">
        <v>2146</v>
      </c>
      <c r="B6" s="1300">
        <f ca="1">IF(C6&lt;B2,"已过期",1120050019)</f>
        <v>1120050019</v>
      </c>
      <c r="C6" s="2341">
        <v>45410</v>
      </c>
      <c r="D6" s="2342" t="str">
        <f t="shared" ca="1" si="0"/>
        <v>王鹏（注册号：1120050019）</v>
      </c>
      <c r="E6" s="2343" t="s">
        <v>2146</v>
      </c>
      <c r="F6" s="1300">
        <f ca="1">IF(G6&lt;B2,"已过期",2002110030)</f>
        <v>2002110030</v>
      </c>
      <c r="G6" s="2344">
        <v>46387</v>
      </c>
      <c r="H6" s="2345" t="str">
        <f t="shared" ca="1" si="1"/>
        <v>王鹏（注册号：2002110030）</v>
      </c>
    </row>
    <row r="7" spans="1:8" ht="24" customHeight="1">
      <c r="A7" s="1300" t="s">
        <v>2147</v>
      </c>
      <c r="B7" s="1300">
        <f ca="1">IF(C7&lt;B2,"已过期",1120000080)</f>
        <v>1120000080</v>
      </c>
      <c r="C7" s="2341">
        <v>45937</v>
      </c>
      <c r="D7" s="2342" t="str">
        <f t="shared" ca="1" si="0"/>
        <v>欧红伟（注册号：1120000080）</v>
      </c>
      <c r="E7" s="2343" t="s">
        <v>2147</v>
      </c>
      <c r="F7" s="1300">
        <f ca="1">IF(G7&lt;B2,"已过期",2000110082)</f>
        <v>2000110082</v>
      </c>
      <c r="G7" s="2344">
        <v>46387</v>
      </c>
      <c r="H7" s="2345" t="str">
        <f t="shared" ca="1" si="1"/>
        <v>欧红伟（注册号：2000110082）</v>
      </c>
    </row>
    <row r="8" spans="1:8" ht="24" customHeight="1">
      <c r="A8" s="1300" t="s">
        <v>2148</v>
      </c>
      <c r="B8" s="1300">
        <f ca="1">IF(C8&lt;B2,"已过期",1419970001)</f>
        <v>1419970001</v>
      </c>
      <c r="C8" s="2341">
        <v>45937</v>
      </c>
      <c r="D8" s="2342" t="str">
        <f t="shared" ca="1" si="0"/>
        <v>吴薇（注册号：1419970001）</v>
      </c>
      <c r="E8" s="2343" t="s">
        <v>2148</v>
      </c>
      <c r="F8" s="1300">
        <f ca="1">IF(G8&lt;B2,"已过期",2002110125)</f>
        <v>2002110125</v>
      </c>
      <c r="G8" s="2344">
        <v>47118</v>
      </c>
      <c r="H8" s="2345" t="str">
        <f t="shared" ca="1" si="1"/>
        <v>吴薇（注册号：2002110125）</v>
      </c>
    </row>
    <row r="9" spans="1:8" ht="24" customHeight="1">
      <c r="A9" s="1300" t="s">
        <v>2149</v>
      </c>
      <c r="B9" s="1300">
        <f ca="1">IF(C9&lt;B2,"已过期",1120060040)</f>
        <v>1120060040</v>
      </c>
      <c r="C9" s="2346">
        <v>45592</v>
      </c>
      <c r="D9" s="2342" t="str">
        <f t="shared" ca="1" si="0"/>
        <v>陈颖（注册号：1120060040）</v>
      </c>
      <c r="E9" s="2343" t="s">
        <v>2149</v>
      </c>
      <c r="F9" s="1300">
        <f ca="1">IF(G9&lt;B2,"已过期",2004110096)</f>
        <v>2004110096</v>
      </c>
      <c r="G9" s="2344">
        <v>47118</v>
      </c>
      <c r="H9" s="2345" t="str">
        <f t="shared" ca="1" si="1"/>
        <v>陈颖（注册号：2004110096）</v>
      </c>
    </row>
    <row r="10" spans="1:8" ht="24" customHeight="1">
      <c r="A10" s="1300" t="s">
        <v>2150</v>
      </c>
      <c r="B10" s="1300">
        <f ca="1">IF(C10&lt;B2,"已过期",1120100036)</f>
        <v>1120100036</v>
      </c>
      <c r="C10" s="2346">
        <v>45752</v>
      </c>
      <c r="D10" s="2342" t="str">
        <f t="shared" ca="1" si="0"/>
        <v>崔锴（注册号：1120100036）</v>
      </c>
      <c r="E10" s="2343" t="s">
        <v>2150</v>
      </c>
      <c r="F10" s="1300">
        <f ca="1">IF(G10&lt;B2,"已过期",2010110070)</f>
        <v>2010110070</v>
      </c>
      <c r="G10" s="2344">
        <v>47907</v>
      </c>
      <c r="H10" s="2345" t="str">
        <f t="shared" ca="1" si="1"/>
        <v>崔锴（注册号：2010110070）</v>
      </c>
    </row>
    <row r="11" spans="1:8" ht="24" customHeight="1">
      <c r="A11" s="1300" t="s">
        <v>2151</v>
      </c>
      <c r="B11" s="1300">
        <f ca="1">IF(C11&lt;B2,"已过期",1120070131)</f>
        <v>1120070131</v>
      </c>
      <c r="C11" s="2341">
        <v>45937</v>
      </c>
      <c r="D11" s="2342" t="str">
        <f t="shared" ca="1" si="0"/>
        <v>郑燚（注册号：1120070131）</v>
      </c>
      <c r="E11" s="2343" t="s">
        <v>2151</v>
      </c>
      <c r="F11" s="1300">
        <f ca="1">IF(G11&lt;B2,"已过期",2014110011)</f>
        <v>2014110011</v>
      </c>
      <c r="G11" s="2344">
        <v>49302</v>
      </c>
      <c r="H11" s="2345" t="str">
        <f t="shared" ca="1" si="1"/>
        <v>郑燚（注册号：2014110011）</v>
      </c>
    </row>
    <row r="12" spans="1:8" ht="24" customHeight="1">
      <c r="A12" s="1300" t="s">
        <v>2152</v>
      </c>
      <c r="B12" s="1300">
        <f ca="1">IF(C12&lt;B2,"已过期",1120040230)</f>
        <v>1120040230</v>
      </c>
      <c r="C12" s="2346">
        <v>45937</v>
      </c>
      <c r="D12" s="2342" t="str">
        <f t="shared" ca="1" si="0"/>
        <v>苏海（注册号：1120040230）</v>
      </c>
      <c r="E12" s="2343" t="s">
        <v>2152</v>
      </c>
      <c r="F12" s="1300">
        <f ca="1">IF(G12&lt;B2,"已过期",98030020)</f>
        <v>98030020</v>
      </c>
      <c r="G12" s="2344">
        <v>47118</v>
      </c>
      <c r="H12" s="2345" t="str">
        <f t="shared" ca="1" si="1"/>
        <v>苏海（注册号：98030020）</v>
      </c>
    </row>
    <row r="13" spans="1:8" ht="24" customHeight="1">
      <c r="A13" s="1300" t="s">
        <v>2153</v>
      </c>
      <c r="B13" s="1300">
        <f ca="1">IF(C13&lt;B2,"已过期",1120020033)</f>
        <v>1120020033</v>
      </c>
      <c r="C13" s="2341">
        <v>45375</v>
      </c>
      <c r="D13" s="2342" t="str">
        <f t="shared" ca="1" si="0"/>
        <v>刘敬东（注册号：1120020033）</v>
      </c>
      <c r="E13" s="2343" t="s">
        <v>2153</v>
      </c>
      <c r="F13" s="1300">
        <f ca="1">IF(G13&lt;B2,"已过期",2000110137)</f>
        <v>2000110137</v>
      </c>
      <c r="G13" s="2344">
        <v>46387</v>
      </c>
      <c r="H13" s="2345" t="str">
        <f t="shared" ca="1" si="1"/>
        <v>刘敬东（注册号：2000110137）</v>
      </c>
    </row>
    <row r="14" spans="1:8" ht="24" customHeight="1">
      <c r="A14" s="1300" t="s">
        <v>2154</v>
      </c>
      <c r="B14" s="1300" t="str">
        <f ca="1">IF(C14&lt;B2,"已过期",1119980106)</f>
        <v>已过期</v>
      </c>
      <c r="C14" s="2346">
        <v>44969</v>
      </c>
      <c r="D14" s="2342" t="str">
        <f t="shared" ca="1" si="0"/>
        <v>刘俊财（注册号：已过期）</v>
      </c>
      <c r="E14" s="2343" t="s">
        <v>2154</v>
      </c>
      <c r="F14" s="1300">
        <f ca="1">IF(G14&lt;B2,"已过期",96010063)</f>
        <v>96010063</v>
      </c>
      <c r="G14" s="2344">
        <v>47483</v>
      </c>
      <c r="H14" s="2345" t="str">
        <f t="shared" ca="1" si="1"/>
        <v>刘俊财（注册号：96010063）</v>
      </c>
    </row>
    <row r="15" spans="1:8" ht="24" customHeight="1">
      <c r="A15" s="1300" t="s">
        <v>2435</v>
      </c>
      <c r="B15" s="1300">
        <v>1120210056</v>
      </c>
      <c r="C15" s="2346">
        <v>45410</v>
      </c>
      <c r="D15" s="2342" t="str">
        <f t="shared" si="0"/>
        <v>宁小鳗（注册号：1120210056）</v>
      </c>
      <c r="E15" s="2343" t="s">
        <v>2155</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631" t="s">
        <v>2156</v>
      </c>
      <c r="B17" s="3631"/>
      <c r="C17" s="3631"/>
      <c r="D17" s="3631"/>
      <c r="E17" s="3631"/>
      <c r="F17" s="3631"/>
      <c r="G17" s="3631"/>
      <c r="H17" s="3631"/>
    </row>
    <row r="18" spans="1:8" ht="24" customHeight="1">
      <c r="A18" s="3632" t="s">
        <v>2157</v>
      </c>
      <c r="B18" s="3632"/>
      <c r="C18" s="3632"/>
      <c r="D18" s="2339"/>
      <c r="E18" s="3633" t="s">
        <v>2158</v>
      </c>
      <c r="F18" s="3632"/>
      <c r="G18" s="3632"/>
    </row>
    <row r="19" spans="1:8" s="2350" customFormat="1" ht="24" customHeight="1">
      <c r="A19" s="2349" t="s">
        <v>2159</v>
      </c>
      <c r="B19" s="2338" t="s">
        <v>2160</v>
      </c>
      <c r="C19" s="2338" t="s">
        <v>2139</v>
      </c>
      <c r="D19" s="2339"/>
      <c r="E19" s="2343" t="s">
        <v>2159</v>
      </c>
      <c r="F19" s="2338" t="s">
        <v>2160</v>
      </c>
      <c r="G19" s="2338" t="s">
        <v>2139</v>
      </c>
    </row>
    <row r="20" spans="1:8" s="2350" customFormat="1" ht="24" customHeight="1">
      <c r="A20" s="2351" t="s">
        <v>2161</v>
      </c>
      <c r="B20" s="2351" t="s">
        <v>2162</v>
      </c>
      <c r="C20" s="2344">
        <v>45898</v>
      </c>
      <c r="D20" s="2352"/>
      <c r="E20" s="2353" t="s">
        <v>2163</v>
      </c>
      <c r="F20" s="2356" t="s">
        <v>2436</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76" priority="53">
      <formula>AND($C4-TODAY()&lt;30,TODAY()&lt;$C4)</formula>
    </cfRule>
  </conditionalFormatting>
  <conditionalFormatting sqref="C20:D20">
    <cfRule type="expression" dxfId="275" priority="52">
      <formula>AND($C20-TODAY()&lt;30,TODAY()&lt;$C20)</formula>
    </cfRule>
  </conditionalFormatting>
  <conditionalFormatting sqref="C20:D20 G4 C4:D5 C13:D13">
    <cfRule type="cellIs" dxfId="274" priority="54" stopIfTrue="1" operator="lessThan">
      <formula>$B$2</formula>
    </cfRule>
  </conditionalFormatting>
  <conditionalFormatting sqref="G5 G7 G9">
    <cfRule type="cellIs" dxfId="273" priority="51" stopIfTrue="1" operator="lessThan">
      <formula>$B$2</formula>
    </cfRule>
  </conditionalFormatting>
  <conditionalFormatting sqref="C6:D6 D14 D16">
    <cfRule type="expression" dxfId="272" priority="49">
      <formula>AND($C6-TODAY()&lt;30,TODAY()&lt;$C6)</formula>
    </cfRule>
  </conditionalFormatting>
  <conditionalFormatting sqref="G6 G8 G10 C6:D6 D7:D12 D14 D16">
    <cfRule type="cellIs" dxfId="271" priority="50" stopIfTrue="1" operator="lessThan">
      <formula>$B$2</formula>
    </cfRule>
  </conditionalFormatting>
  <conditionalFormatting sqref="D12">
    <cfRule type="expression" dxfId="270" priority="47">
      <formula>AND($C12-TODAY()&lt;30,TODAY()&lt;$C12)</formula>
    </cfRule>
  </conditionalFormatting>
  <conditionalFormatting sqref="D12">
    <cfRule type="cellIs" dxfId="269" priority="48" stopIfTrue="1" operator="lessThan">
      <formula>$B$2</formula>
    </cfRule>
  </conditionalFormatting>
  <conditionalFormatting sqref="C13:D13">
    <cfRule type="expression" dxfId="268" priority="45">
      <formula>AND($C13-TODAY()&lt;30,TODAY()&lt;$C13)</formula>
    </cfRule>
  </conditionalFormatting>
  <conditionalFormatting sqref="C13:D13">
    <cfRule type="cellIs" dxfId="267" priority="46" stopIfTrue="1" operator="lessThan">
      <formula>$B$2</formula>
    </cfRule>
  </conditionalFormatting>
  <conditionalFormatting sqref="D14">
    <cfRule type="expression" dxfId="266" priority="43">
      <formula>AND($C14-TODAY()&lt;30,TODAY()&lt;$C14)</formula>
    </cfRule>
  </conditionalFormatting>
  <conditionalFormatting sqref="D14">
    <cfRule type="cellIs" dxfId="265" priority="44" stopIfTrue="1" operator="lessThan">
      <formula>$B$2</formula>
    </cfRule>
  </conditionalFormatting>
  <conditionalFormatting sqref="G13">
    <cfRule type="cellIs" dxfId="264" priority="42" stopIfTrue="1" operator="lessThan">
      <formula>$B$2</formula>
    </cfRule>
  </conditionalFormatting>
  <conditionalFormatting sqref="B4:B11 F4:F11 B13 F13:F14">
    <cfRule type="cellIs" dxfId="263" priority="41" stopIfTrue="1" operator="equal">
      <formula>"已过期"</formula>
    </cfRule>
  </conditionalFormatting>
  <conditionalFormatting sqref="C7">
    <cfRule type="cellIs" dxfId="262" priority="38" stopIfTrue="1" operator="lessThan">
      <formula>$B$2</formula>
    </cfRule>
  </conditionalFormatting>
  <conditionalFormatting sqref="C7">
    <cfRule type="expression" dxfId="261" priority="37">
      <formula>AND($C7-TODAY()&lt;30,TODAY()&lt;$C7)</formula>
    </cfRule>
  </conditionalFormatting>
  <conditionalFormatting sqref="C8">
    <cfRule type="expression" dxfId="260" priority="35">
      <formula>AND($C8-TODAY()&lt;30,TODAY()&lt;$C8)</formula>
    </cfRule>
  </conditionalFormatting>
  <conditionalFormatting sqref="C8">
    <cfRule type="cellIs" dxfId="259" priority="36" stopIfTrue="1" operator="lessThan">
      <formula>$B$2</formula>
    </cfRule>
  </conditionalFormatting>
  <conditionalFormatting sqref="C11">
    <cfRule type="expression" dxfId="258" priority="33">
      <formula>AND($C11-TODAY()&lt;30,TODAY()&lt;$C11)</formula>
    </cfRule>
  </conditionalFormatting>
  <conditionalFormatting sqref="C11">
    <cfRule type="cellIs" dxfId="257" priority="34" stopIfTrue="1" operator="lessThan">
      <formula>$B$2</formula>
    </cfRule>
  </conditionalFormatting>
  <conditionalFormatting sqref="A16:C16">
    <cfRule type="cellIs" dxfId="256" priority="32" stopIfTrue="1" operator="equal">
      <formula>"已过期"</formula>
    </cfRule>
  </conditionalFormatting>
  <conditionalFormatting sqref="E16:G16">
    <cfRule type="cellIs" dxfId="255" priority="31" stopIfTrue="1" operator="equal">
      <formula>"已过期"</formula>
    </cfRule>
  </conditionalFormatting>
  <conditionalFormatting sqref="G11">
    <cfRule type="cellIs" dxfId="254" priority="30" stopIfTrue="1" operator="lessThan">
      <formula>$B$2</formula>
    </cfRule>
  </conditionalFormatting>
  <conditionalFormatting sqref="F12">
    <cfRule type="cellIs" dxfId="253" priority="29" stopIfTrue="1" operator="equal">
      <formula>"已过期"</formula>
    </cfRule>
  </conditionalFormatting>
  <conditionalFormatting sqref="G12">
    <cfRule type="cellIs" dxfId="252" priority="28" stopIfTrue="1" operator="lessThan">
      <formula>$B$2</formula>
    </cfRule>
  </conditionalFormatting>
  <conditionalFormatting sqref="C12">
    <cfRule type="cellIs" dxfId="251" priority="27" stopIfTrue="1" operator="lessThan">
      <formula>$B$2</formula>
    </cfRule>
  </conditionalFormatting>
  <conditionalFormatting sqref="C12">
    <cfRule type="expression" dxfId="250" priority="25">
      <formula>AND($C12-TODAY()&lt;30,TODAY()&lt;$C12)</formula>
    </cfRule>
  </conditionalFormatting>
  <conditionalFormatting sqref="C12">
    <cfRule type="cellIs" dxfId="249" priority="26" stopIfTrue="1" operator="lessThan">
      <formula>$B$2</formula>
    </cfRule>
  </conditionalFormatting>
  <conditionalFormatting sqref="B12">
    <cfRule type="cellIs" dxfId="248" priority="24" stopIfTrue="1" operator="equal">
      <formula>"已过期"</formula>
    </cfRule>
  </conditionalFormatting>
  <conditionalFormatting sqref="C9:C10">
    <cfRule type="expression" dxfId="247" priority="22">
      <formula>AND($C9-TODAY()&lt;30,TODAY()&lt;$C9)</formula>
    </cfRule>
  </conditionalFormatting>
  <conditionalFormatting sqref="C9:C10">
    <cfRule type="cellIs" dxfId="246" priority="23" stopIfTrue="1" operator="lessThan">
      <formula>$B$2</formula>
    </cfRule>
  </conditionalFormatting>
  <conditionalFormatting sqref="G21">
    <cfRule type="expression" dxfId="245" priority="20" stopIfTrue="1">
      <formula>AND(#REF!-TODAY()&lt;30,TODAY()&lt;#REF!)</formula>
    </cfRule>
  </conditionalFormatting>
  <conditionalFormatting sqref="G21">
    <cfRule type="cellIs" dxfId="244" priority="21" stopIfTrue="1" operator="lessThan">
      <formula>$B$2</formula>
    </cfRule>
  </conditionalFormatting>
  <conditionalFormatting sqref="C14">
    <cfRule type="expression" dxfId="243" priority="18">
      <formula>AND($C14-TODAY()&lt;30,TODAY()&lt;$C14)</formula>
    </cfRule>
  </conditionalFormatting>
  <conditionalFormatting sqref="C14">
    <cfRule type="cellIs" dxfId="242" priority="19" stopIfTrue="1" operator="lessThan">
      <formula>$B$2</formula>
    </cfRule>
  </conditionalFormatting>
  <conditionalFormatting sqref="C14">
    <cfRule type="expression" dxfId="241" priority="16">
      <formula>AND($C14-TODAY()&lt;30,TODAY()&lt;$C14)</formula>
    </cfRule>
  </conditionalFormatting>
  <conditionalFormatting sqref="C14">
    <cfRule type="cellIs" dxfId="240" priority="17" stopIfTrue="1" operator="lessThan">
      <formula>$B$2</formula>
    </cfRule>
  </conditionalFormatting>
  <conditionalFormatting sqref="B14">
    <cfRule type="cellIs" dxfId="239" priority="15" stopIfTrue="1" operator="equal">
      <formula>"已过期"</formula>
    </cfRule>
  </conditionalFormatting>
  <conditionalFormatting sqref="G14">
    <cfRule type="cellIs" dxfId="238" priority="14" stopIfTrue="1" operator="lessThan">
      <formula>$B$2</formula>
    </cfRule>
  </conditionalFormatting>
  <conditionalFormatting sqref="D15">
    <cfRule type="expression" dxfId="237" priority="12">
      <formula>AND($C15-TODAY()&lt;30,TODAY()&lt;$C15)</formula>
    </cfRule>
  </conditionalFormatting>
  <conditionalFormatting sqref="D15">
    <cfRule type="cellIs" dxfId="236" priority="13" stopIfTrue="1" operator="lessThan">
      <formula>$B$2</formula>
    </cfRule>
  </conditionalFormatting>
  <conditionalFormatting sqref="D15">
    <cfRule type="expression" dxfId="235" priority="10">
      <formula>AND($C15-TODAY()&lt;30,TODAY()&lt;$C15)</formula>
    </cfRule>
  </conditionalFormatting>
  <conditionalFormatting sqref="D15">
    <cfRule type="cellIs" dxfId="234" priority="11" stopIfTrue="1" operator="lessThan">
      <formula>$B$2</formula>
    </cfRule>
  </conditionalFormatting>
  <conditionalFormatting sqref="F15">
    <cfRule type="cellIs" dxfId="233" priority="9" stopIfTrue="1" operator="equal">
      <formula>"已过期"</formula>
    </cfRule>
  </conditionalFormatting>
  <conditionalFormatting sqref="C15">
    <cfRule type="expression" dxfId="232" priority="7">
      <formula>AND($C15-TODAY()&lt;30,TODAY()&lt;$C15)</formula>
    </cfRule>
  </conditionalFormatting>
  <conditionalFormatting sqref="C15">
    <cfRule type="cellIs" dxfId="231" priority="8" stopIfTrue="1" operator="lessThan">
      <formula>$B$2</formula>
    </cfRule>
  </conditionalFormatting>
  <conditionalFormatting sqref="C15">
    <cfRule type="expression" dxfId="230" priority="5">
      <formula>AND($C15-TODAY()&lt;30,TODAY()&lt;$C15)</formula>
    </cfRule>
  </conditionalFormatting>
  <conditionalFormatting sqref="C15">
    <cfRule type="cellIs" dxfId="229" priority="6" stopIfTrue="1" operator="lessThan">
      <formula>$B$2</formula>
    </cfRule>
  </conditionalFormatting>
  <conditionalFormatting sqref="B15">
    <cfRule type="cellIs" dxfId="228" priority="4" stopIfTrue="1" operator="equal">
      <formula>"已过期"</formula>
    </cfRule>
  </conditionalFormatting>
  <conditionalFormatting sqref="G15">
    <cfRule type="cellIs" dxfId="227" priority="3" stopIfTrue="1" operator="lessThan">
      <formula>$B$2</formula>
    </cfRule>
  </conditionalFormatting>
  <conditionalFormatting sqref="G20">
    <cfRule type="expression" dxfId="226" priority="1" stopIfTrue="1">
      <formula>AND(#REF!-TODAY()&lt;30,TODAY()&lt;#REF!)</formula>
    </cfRule>
  </conditionalFormatting>
  <conditionalFormatting sqref="G20">
    <cfRule type="cellIs" dxfId="22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结果表-地下商业1</vt:lpstr>
      <vt:lpstr>成本法-地下商业1</vt:lpstr>
      <vt:lpstr>收益法-地下商业1</vt:lpstr>
      <vt:lpstr>结果表-地下商业2</vt:lpstr>
      <vt:lpstr>成本法-地下商业2</vt:lpstr>
      <vt:lpstr>收益法-地下商业2</vt:lpstr>
      <vt:lpstr>结果表-地下车库</vt:lpstr>
      <vt:lpstr>成本法-地下车库</vt:lpstr>
      <vt:lpstr>收益法-地下车库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收益法!Print_Area</vt:lpstr>
      <vt:lpstr>'收益法 (元)'!Print_Area</vt:lpstr>
      <vt:lpstr>'收益法（汇总）'!Print_Area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2023-06-13T06:18:28Z</dcterms:modified>
</cp:coreProperties>
</file>