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2290" windowHeight="8055" tabRatio="899" firstSheet="13"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N6" i="1"/>
  <c r="B25" i="31"/>
  <c r="B24" i="31"/>
  <c r="A25" i="31"/>
  <c r="A24" i="31"/>
  <c r="B16" i="3"/>
  <c r="C33" i="33"/>
  <c r="U3" i="43"/>
  <c r="Y6" i="1"/>
  <c r="V19" i="1"/>
  <c r="X20" i="1"/>
  <c r="V18" i="1" s="1"/>
  <c r="W20" i="1"/>
  <c r="F20" i="6"/>
  <c r="F19" i="6"/>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S27" i="31" s="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S55" i="31" s="1"/>
  <c r="R56" i="31"/>
  <c r="R57" i="31"/>
  <c r="R58" i="31"/>
  <c r="R59" i="31"/>
  <c r="S59" i="31" s="1"/>
  <c r="R60" i="31"/>
  <c r="R61" i="31"/>
  <c r="R62" i="31"/>
  <c r="R63" i="31"/>
  <c r="S63" i="31" s="1"/>
  <c r="R64" i="31"/>
  <c r="R65" i="31"/>
  <c r="R66" i="31"/>
  <c r="R67" i="31"/>
  <c r="S67" i="31" s="1"/>
  <c r="R68" i="31"/>
  <c r="R69" i="31"/>
  <c r="R70" i="31"/>
  <c r="R71" i="31"/>
  <c r="S71" i="31" s="1"/>
  <c r="R72" i="31"/>
  <c r="R73" i="31"/>
  <c r="R74" i="31"/>
  <c r="R75" i="31"/>
  <c r="S75" i="31" s="1"/>
  <c r="R76" i="31"/>
  <c r="R77" i="31"/>
  <c r="R78" i="31"/>
  <c r="R79" i="31"/>
  <c r="S79" i="31" s="1"/>
  <c r="R80" i="31"/>
  <c r="R81" i="31"/>
  <c r="R82" i="31"/>
  <c r="R83" i="31"/>
  <c r="S83" i="31" s="1"/>
  <c r="R84" i="31"/>
  <c r="R85" i="31"/>
  <c r="R86" i="31"/>
  <c r="R87" i="31"/>
  <c r="S87" i="31" s="1"/>
  <c r="R88" i="31"/>
  <c r="R89" i="31"/>
  <c r="R90" i="31"/>
  <c r="R91" i="31"/>
  <c r="S91" i="31" s="1"/>
  <c r="R92" i="31"/>
  <c r="R93" i="31"/>
  <c r="R94" i="31"/>
  <c r="R95" i="31"/>
  <c r="S95" i="31" s="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S115" i="31" s="1"/>
  <c r="R116" i="31"/>
  <c r="R117" i="31"/>
  <c r="R118" i="31"/>
  <c r="R119" i="31"/>
  <c r="S119" i="31" s="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R365" i="31"/>
  <c r="S365" i="31" s="1"/>
  <c r="R366" i="31"/>
  <c r="R367" i="31"/>
  <c r="S367" i="31" s="1"/>
  <c r="R368" i="31"/>
  <c r="S368" i="31" s="1"/>
  <c r="R369" i="31"/>
  <c r="S369" i="31" s="1"/>
  <c r="R370" i="31"/>
  <c r="R371" i="31"/>
  <c r="S371" i="31" s="1"/>
  <c r="R372" i="31"/>
  <c r="R373" i="31"/>
  <c r="S373" i="31" s="1"/>
  <c r="R374" i="31"/>
  <c r="R375" i="31"/>
  <c r="S375" i="31" s="1"/>
  <c r="R376" i="31"/>
  <c r="S376" i="31" s="1"/>
  <c r="R377" i="31"/>
  <c r="S377" i="31" s="1"/>
  <c r="R378" i="31"/>
  <c r="R379" i="31"/>
  <c r="S379" i="31" s="1"/>
  <c r="R380" i="31"/>
  <c r="R381" i="31"/>
  <c r="S381" i="31" s="1"/>
  <c r="R382" i="31"/>
  <c r="R383" i="31"/>
  <c r="S383" i="31" s="1"/>
  <c r="R384" i="31"/>
  <c r="S384" i="31" s="1"/>
  <c r="R385" i="31"/>
  <c r="S385" i="31" s="1"/>
  <c r="R386" i="31"/>
  <c r="R387" i="31"/>
  <c r="S387" i="31" s="1"/>
  <c r="R388" i="31"/>
  <c r="R389" i="31"/>
  <c r="S389" i="31" s="1"/>
  <c r="R390" i="31"/>
  <c r="R391" i="31"/>
  <c r="S391" i="31" s="1"/>
  <c r="R392" i="31"/>
  <c r="S392" i="31" s="1"/>
  <c r="R393" i="31"/>
  <c r="S393" i="31" s="1"/>
  <c r="R394" i="31"/>
  <c r="R395" i="31"/>
  <c r="S395" i="31" s="1"/>
  <c r="R396" i="31"/>
  <c r="R397" i="31"/>
  <c r="S397" i="31" s="1"/>
  <c r="R398" i="31"/>
  <c r="R399" i="31"/>
  <c r="S399" i="31" s="1"/>
  <c r="R400" i="31"/>
  <c r="S400" i="31" s="1"/>
  <c r="R401" i="31"/>
  <c r="S401" i="31" s="1"/>
  <c r="R402" i="31"/>
  <c r="R403" i="31"/>
  <c r="S403" i="31" s="1"/>
  <c r="R404" i="31"/>
  <c r="R405" i="31"/>
  <c r="S405" i="31" s="1"/>
  <c r="R406" i="31"/>
  <c r="R407" i="31"/>
  <c r="S407" i="31" s="1"/>
  <c r="R408" i="31"/>
  <c r="S408" i="31" s="1"/>
  <c r="R409" i="31"/>
  <c r="S409" i="31" s="1"/>
  <c r="R410" i="31"/>
  <c r="R411" i="31"/>
  <c r="S411" i="31" s="1"/>
  <c r="R412" i="31"/>
  <c r="R413" i="31"/>
  <c r="S413" i="31" s="1"/>
  <c r="R414" i="31"/>
  <c r="R415" i="31"/>
  <c r="S415" i="31" s="1"/>
  <c r="R416" i="31"/>
  <c r="S416" i="31" s="1"/>
  <c r="R417" i="31"/>
  <c r="S417" i="31" s="1"/>
  <c r="R418" i="31"/>
  <c r="R419" i="31"/>
  <c r="S419" i="31" s="1"/>
  <c r="R420" i="31"/>
  <c r="R421" i="31"/>
  <c r="S421" i="31" s="1"/>
  <c r="R422" i="31"/>
  <c r="R423" i="31"/>
  <c r="S423" i="31" s="1"/>
  <c r="R424" i="31"/>
  <c r="S424" i="31" s="1"/>
  <c r="R425" i="31"/>
  <c r="R426" i="31"/>
  <c r="R427" i="31"/>
  <c r="R428" i="31"/>
  <c r="R429" i="31"/>
  <c r="R430" i="31"/>
  <c r="R431" i="31"/>
  <c r="S431" i="31" s="1"/>
  <c r="R432" i="31"/>
  <c r="S432" i="31" s="1"/>
  <c r="R433" i="31"/>
  <c r="R434" i="31"/>
  <c r="R435" i="31"/>
  <c r="S435" i="31" s="1"/>
  <c r="R436" i="31"/>
  <c r="R437" i="31"/>
  <c r="R438" i="31"/>
  <c r="R439" i="31"/>
  <c r="S439" i="31" s="1"/>
  <c r="R440" i="31"/>
  <c r="S440" i="31" s="1"/>
  <c r="R441" i="31"/>
  <c r="R442" i="31"/>
  <c r="R443" i="31"/>
  <c r="S443" i="31" s="1"/>
  <c r="R444" i="31"/>
  <c r="S444" i="31" s="1"/>
  <c r="R445" i="31"/>
  <c r="R446" i="31"/>
  <c r="R447" i="3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S468" i="31" s="1"/>
  <c r="R469" i="31"/>
  <c r="R470" i="31"/>
  <c r="R471" i="31"/>
  <c r="S471" i="31" s="1"/>
  <c r="R472" i="31"/>
  <c r="S472" i="31" s="1"/>
  <c r="R473" i="31"/>
  <c r="R474" i="31"/>
  <c r="R475" i="31"/>
  <c r="S475" i="31" s="1"/>
  <c r="R476" i="31"/>
  <c r="S476" i="31" s="1"/>
  <c r="R477" i="31"/>
  <c r="R478" i="31"/>
  <c r="R479" i="31"/>
  <c r="S479" i="31" s="1"/>
  <c r="R480" i="31"/>
  <c r="R481" i="31"/>
  <c r="R482" i="31"/>
  <c r="R483" i="31"/>
  <c r="S483" i="31" s="1"/>
  <c r="R484" i="31"/>
  <c r="S484" i="31" s="1"/>
  <c r="R485" i="31"/>
  <c r="R486" i="31"/>
  <c r="R487" i="31"/>
  <c r="S487" i="31" s="1"/>
  <c r="R488" i="31"/>
  <c r="S488" i="31" s="1"/>
  <c r="R489" i="31"/>
  <c r="R490" i="31"/>
  <c r="R491" i="31"/>
  <c r="S491" i="31" s="1"/>
  <c r="R492" i="31"/>
  <c r="S492" i="31" s="1"/>
  <c r="R493" i="31"/>
  <c r="R494" i="31"/>
  <c r="R495" i="31"/>
  <c r="S495" i="31" s="1"/>
  <c r="R496" i="31"/>
  <c r="R497" i="31"/>
  <c r="R498" i="31"/>
  <c r="R499" i="31"/>
  <c r="R500" i="31"/>
  <c r="S500" i="31" s="1"/>
  <c r="R501" i="31"/>
  <c r="R502" i="31"/>
  <c r="R503" i="31"/>
  <c r="S503" i="31" s="1"/>
  <c r="R504" i="31"/>
  <c r="S504" i="31" s="1"/>
  <c r="R505" i="31"/>
  <c r="R506" i="31"/>
  <c r="R507" i="31"/>
  <c r="S507" i="31" s="1"/>
  <c r="R508" i="31"/>
  <c r="S508" i="31" s="1"/>
  <c r="R509" i="31"/>
  <c r="R510" i="31"/>
  <c r="R511" i="31"/>
  <c r="S511" i="31" s="1"/>
  <c r="R512" i="31"/>
  <c r="R513" i="31"/>
  <c r="R514" i="31"/>
  <c r="R515" i="31"/>
  <c r="S515" i="31" s="1"/>
  <c r="R516" i="31"/>
  <c r="S516" i="31" s="1"/>
  <c r="R517" i="31"/>
  <c r="R518" i="31"/>
  <c r="R519" i="31"/>
  <c r="S519" i="31" s="1"/>
  <c r="R520" i="31"/>
  <c r="R521" i="3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2" i="31"/>
  <c r="S410" i="31"/>
  <c r="S406" i="31"/>
  <c r="S404" i="31"/>
  <c r="S402" i="31"/>
  <c r="S398" i="31"/>
  <c r="S396" i="31"/>
  <c r="S394" i="31"/>
  <c r="S390" i="31"/>
  <c r="S388" i="31"/>
  <c r="S386" i="31"/>
  <c r="S382" i="31"/>
  <c r="S380" i="31"/>
  <c r="S378" i="31"/>
  <c r="S374" i="31"/>
  <c r="S372" i="31"/>
  <c r="S370" i="31"/>
  <c r="S366" i="31"/>
  <c r="S364" i="31"/>
  <c r="S362" i="31"/>
  <c r="S360" i="31"/>
  <c r="S358" i="31"/>
  <c r="S354" i="31"/>
  <c r="S352" i="31"/>
  <c r="S350" i="31"/>
  <c r="S346" i="31"/>
  <c r="S344" i="31"/>
  <c r="S342" i="31"/>
  <c r="S338" i="31"/>
  <c r="S336" i="31"/>
  <c r="S334" i="31"/>
  <c r="S330" i="31"/>
  <c r="S328" i="31"/>
  <c r="S326" i="31"/>
  <c r="S322" i="31"/>
  <c r="S318" i="31"/>
  <c r="S314" i="31"/>
  <c r="S310" i="31"/>
  <c r="S306" i="31"/>
  <c r="S302" i="31"/>
  <c r="S298" i="31"/>
  <c r="S294" i="31"/>
  <c r="S292" i="31"/>
  <c r="S290" i="31"/>
  <c r="S288" i="31"/>
  <c r="S286" i="31"/>
  <c r="S284" i="31"/>
  <c r="S280"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4" i="31"/>
  <c r="S493" i="31"/>
  <c r="S490" i="31"/>
  <c r="S489" i="31"/>
  <c r="S486" i="31"/>
  <c r="S485" i="31"/>
  <c r="S482" i="31"/>
  <c r="S481" i="31"/>
  <c r="S480" i="31"/>
  <c r="S478" i="31"/>
  <c r="S477" i="31"/>
  <c r="S474" i="31"/>
  <c r="S473" i="31"/>
  <c r="S470" i="31"/>
  <c r="S469" i="31"/>
  <c r="S442" i="31"/>
  <c r="S441" i="31"/>
  <c r="S438" i="31"/>
  <c r="S437" i="31"/>
  <c r="S436" i="31"/>
  <c r="S434" i="31"/>
  <c r="S433" i="31"/>
  <c r="S430" i="31"/>
  <c r="S122" i="31"/>
  <c r="S121" i="31"/>
  <c r="S120" i="31"/>
  <c r="S118" i="31"/>
  <c r="S117" i="31"/>
  <c r="S116" i="31"/>
  <c r="S114" i="31"/>
  <c r="S113" i="31"/>
  <c r="S112" i="31"/>
  <c r="S506" i="31"/>
  <c r="S502" i="31"/>
  <c r="S498" i="31"/>
  <c r="S467" i="31"/>
  <c r="S466" i="31"/>
  <c r="S465" i="31"/>
  <c r="S463" i="31"/>
  <c r="S462" i="31"/>
  <c r="S461" i="31"/>
  <c r="S459" i="31"/>
  <c r="S458" i="31"/>
  <c r="S457" i="31"/>
  <c r="S455" i="31"/>
  <c r="S454" i="31"/>
  <c r="S453" i="31"/>
  <c r="S451" i="31"/>
  <c r="S450" i="31"/>
  <c r="S54" i="31"/>
  <c r="S53" i="31"/>
  <c r="S52" i="31"/>
  <c r="S50" i="31"/>
  <c r="S49" i="31"/>
  <c r="S48" i="31"/>
  <c r="S46" i="31"/>
  <c r="S45" i="31"/>
  <c r="S44" i="31"/>
  <c r="S42" i="31"/>
  <c r="S41" i="31"/>
  <c r="S40" i="31"/>
  <c r="S38" i="31"/>
  <c r="S37" i="31"/>
  <c r="S36" i="31"/>
  <c r="S34" i="31"/>
  <c r="S33" i="31"/>
  <c r="S32" i="31"/>
  <c r="S77" i="31"/>
  <c r="S76" i="31"/>
  <c r="S74" i="31"/>
  <c r="S73" i="31"/>
  <c r="S72" i="31"/>
  <c r="S70" i="31"/>
  <c r="S69" i="31"/>
  <c r="S68" i="31"/>
  <c r="S66" i="31"/>
  <c r="S65" i="31"/>
  <c r="S64" i="31"/>
  <c r="S62" i="31"/>
  <c r="S61" i="31"/>
  <c r="S60" i="31"/>
  <c r="S58" i="31"/>
  <c r="S57" i="31"/>
  <c r="S56" i="31"/>
  <c r="S97" i="31"/>
  <c r="S96" i="31"/>
  <c r="S94" i="31"/>
  <c r="S93" i="31"/>
  <c r="S92" i="31"/>
  <c r="S90" i="31"/>
  <c r="S89" i="31"/>
  <c r="S88" i="31"/>
  <c r="S86" i="31"/>
  <c r="S85" i="31"/>
  <c r="S84" i="31"/>
  <c r="S82" i="31"/>
  <c r="S81" i="31"/>
  <c r="S80" i="31"/>
  <c r="S78" i="31"/>
  <c r="S30" i="31"/>
  <c r="S29" i="31"/>
  <c r="S98" i="31"/>
  <c r="S100" i="31"/>
  <c r="S101" i="31"/>
  <c r="S102" i="31"/>
  <c r="S104" i="31"/>
  <c r="S105" i="31"/>
  <c r="S106" i="31"/>
  <c r="S108" i="31"/>
  <c r="S109" i="31"/>
  <c r="S110" i="31"/>
  <c r="S445" i="31"/>
  <c r="S446" i="31"/>
  <c r="S447" i="31"/>
  <c r="S449" i="31"/>
  <c r="S509" i="31"/>
  <c r="S510"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7" i="31"/>
  <c r="S518" i="31"/>
  <c r="S520" i="31"/>
  <c r="S521" i="31"/>
  <c r="S522"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AB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28" i="67"/>
  <c r="C28" i="67" s="1"/>
  <c r="F32" i="67"/>
  <c r="F60" i="67" s="1"/>
  <c r="F2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7" i="15"/>
  <c r="F8" i="67"/>
  <c r="B10" i="76"/>
  <c r="E2" i="69"/>
  <c r="L47" i="67"/>
  <c r="F16" i="15"/>
  <c r="M28" i="15"/>
  <c r="E10" i="76"/>
  <c r="J15" i="67"/>
  <c r="F16" i="67"/>
  <c r="E9" i="76"/>
  <c r="F9" i="15"/>
  <c r="F13" i="15"/>
  <c r="M22" i="67"/>
  <c r="F38" i="15"/>
  <c r="B13" i="76"/>
  <c r="F3" i="73"/>
  <c r="M23" i="67"/>
  <c r="F5" i="73"/>
  <c r="F43" i="15"/>
  <c r="F8" i="15"/>
  <c r="F37" i="67"/>
  <c r="E7" i="76"/>
  <c r="M6" i="67"/>
  <c r="F37" i="15"/>
  <c r="F38" i="67"/>
  <c r="D4" i="73"/>
  <c r="E12" i="76"/>
  <c r="F36" i="15"/>
  <c r="F7" i="73"/>
  <c r="F36" i="67"/>
  <c r="E8" i="76"/>
  <c r="D7" i="73"/>
  <c r="B7" i="76"/>
  <c r="L48" i="15"/>
  <c r="M8" i="67"/>
  <c r="B9" i="76"/>
  <c r="M24" i="67"/>
  <c r="F42" i="67"/>
  <c r="F4" i="73"/>
  <c r="M9" i="15"/>
  <c r="M26" i="15"/>
  <c r="F9" i="67"/>
  <c r="F42" i="15"/>
  <c r="F13" i="67"/>
  <c r="M28" i="67"/>
  <c r="M24" i="15"/>
  <c r="F7" i="67"/>
  <c r="D3" i="73"/>
  <c r="B12" i="76"/>
  <c r="M6" i="15"/>
  <c r="L47" i="15"/>
  <c r="F40" i="67"/>
  <c r="M26" i="67"/>
  <c r="F6" i="67"/>
  <c r="B8" i="76"/>
  <c r="M9" i="67"/>
  <c r="F6" i="73"/>
  <c r="F43" i="67"/>
  <c r="M22" i="15"/>
  <c r="F26" i="15"/>
  <c r="M8" i="15"/>
  <c r="J15" i="15"/>
  <c r="F40" i="15"/>
  <c r="L48" i="67"/>
  <c r="D6" i="73"/>
  <c r="C76" i="15"/>
  <c r="M23" i="15"/>
  <c r="E13" i="76"/>
  <c r="F6" i="15"/>
  <c r="C76" i="67"/>
  <c r="B11" i="76"/>
  <c r="F26" i="67"/>
  <c r="M29" i="67"/>
  <c r="AO13" i="1"/>
  <c r="M29" i="15"/>
  <c r="E2" i="68"/>
  <c r="E11" i="76"/>
  <c r="F20" i="31"/>
  <c r="S28" i="33" l="1"/>
  <c r="AC28" i="33"/>
  <c r="U28" i="33"/>
  <c r="W33" i="33"/>
  <c r="AB36" i="33"/>
  <c r="S36" i="33"/>
  <c r="U11" i="33"/>
  <c r="AC11" i="33"/>
  <c r="W8" i="33"/>
  <c r="H50" i="43"/>
  <c r="M18" i="15"/>
  <c r="M18" i="67"/>
  <c r="F30" i="11"/>
  <c r="C48" i="11" s="1"/>
  <c r="F54" i="9"/>
  <c r="F32" i="15"/>
  <c r="F60" i="15" s="1"/>
  <c r="F52" i="9"/>
  <c r="F30" i="68"/>
  <c r="F48" i="68" s="1"/>
  <c r="D68" i="9"/>
  <c r="F30" i="69"/>
  <c r="F48" i="69" s="1"/>
  <c r="F31" i="12"/>
  <c r="C21" i="68"/>
  <c r="C40" i="69"/>
  <c r="G5" i="3"/>
  <c r="B3" i="3" s="1"/>
  <c r="T6" i="3" s="1"/>
  <c r="E369" i="3"/>
  <c r="E296" i="3"/>
  <c r="G28" i="6"/>
  <c r="A2" i="9"/>
  <c r="A4" i="52"/>
  <c r="B41" i="72" s="1"/>
  <c r="A118" i="9"/>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2" i="3"/>
  <c r="E461" i="3"/>
  <c r="E136" i="3"/>
  <c r="E352" i="3"/>
  <c r="E306" i="3"/>
  <c r="E157" i="3"/>
  <c r="E224" i="3"/>
  <c r="E313" i="3"/>
  <c r="E532" i="3"/>
  <c r="E529" i="3"/>
  <c r="E474" i="3"/>
  <c r="E438" i="3"/>
  <c r="E288" i="3"/>
  <c r="E587" i="3"/>
  <c r="W6" i="3"/>
  <c r="E577" i="3"/>
  <c r="E537" i="3"/>
  <c r="E468" i="3"/>
  <c r="E471" i="3"/>
  <c r="E454" i="3"/>
  <c r="E475" i="3"/>
  <c r="E106" i="3"/>
  <c r="E54" i="3"/>
  <c r="E146" i="3"/>
  <c r="E168" i="3"/>
  <c r="E150" i="3"/>
  <c r="E171" i="3"/>
  <c r="E208" i="3"/>
  <c r="E279" i="3"/>
  <c r="E214" i="3"/>
  <c r="E257" i="3"/>
  <c r="E351" i="3"/>
  <c r="E315" i="3"/>
  <c r="E357" i="3"/>
  <c r="E318" i="3"/>
  <c r="E362" i="3"/>
  <c r="E14" i="3"/>
  <c r="E31" i="3"/>
  <c r="E74" i="3"/>
  <c r="E93" i="3"/>
  <c r="E567" i="3"/>
  <c r="E227" i="3"/>
  <c r="E397" i="3"/>
  <c r="E549" i="3"/>
  <c r="E368" i="3"/>
  <c r="E196" i="3"/>
  <c r="E269" i="3"/>
  <c r="E89" i="3"/>
  <c r="E207" i="3"/>
  <c r="E271" i="3"/>
  <c r="E204" i="3"/>
  <c r="E145" i="3"/>
  <c r="E107" i="3"/>
  <c r="E327" i="3"/>
  <c r="E379" i="3"/>
  <c r="E585" i="3"/>
  <c r="Z6" i="3"/>
  <c r="U6" i="3"/>
  <c r="E515" i="3"/>
  <c r="AO6" i="3"/>
  <c r="E411" i="3"/>
  <c r="E478" i="3"/>
  <c r="E485" i="3"/>
  <c r="E548"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F27" i="69"/>
  <c r="C36" i="69"/>
  <c r="D9" i="69"/>
  <c r="C16" i="67"/>
  <c r="C16" i="15"/>
  <c r="G1" i="73"/>
  <c r="E465" i="3" l="1"/>
  <c r="E406" i="3"/>
  <c r="E472" i="3"/>
  <c r="E560" i="3"/>
  <c r="K6" i="3"/>
  <c r="E133" i="3"/>
  <c r="E277" i="3"/>
  <c r="E228" i="3"/>
  <c r="AK6" i="3"/>
  <c r="E545" i="3"/>
  <c r="E181" i="3"/>
  <c r="E568" i="3"/>
  <c r="E77" i="3"/>
  <c r="E140" i="3"/>
  <c r="E525" i="3"/>
  <c r="E111" i="3"/>
  <c r="E72" i="3"/>
  <c r="E433" i="3"/>
  <c r="E450" i="3"/>
  <c r="E571" i="3"/>
  <c r="E562" i="3"/>
  <c r="E457" i="3"/>
  <c r="E527" i="3"/>
  <c r="E458" i="3"/>
  <c r="E573" i="3"/>
  <c r="E519" i="3"/>
  <c r="E193" i="3"/>
  <c r="E45" i="3"/>
  <c r="E99" i="3"/>
  <c r="E511" i="3"/>
  <c r="E314" i="3"/>
  <c r="E85" i="3"/>
  <c r="E453" i="3"/>
  <c r="E253" i="3"/>
  <c r="E197" i="3"/>
  <c r="E534"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205" i="3"/>
  <c r="E173" i="3"/>
  <c r="E510" i="3"/>
  <c r="E16" i="3"/>
  <c r="E148" i="3"/>
  <c r="E167" i="3"/>
  <c r="E105" i="3"/>
  <c r="E575" i="3"/>
  <c r="E542" i="3"/>
  <c r="E543" i="3"/>
  <c r="E427" i="3"/>
  <c r="E486" i="3"/>
  <c r="E422" i="3"/>
  <c r="E440" i="3"/>
  <c r="E490" i="3"/>
  <c r="E376" i="3"/>
  <c r="AH6" i="3"/>
  <c r="J6" i="3"/>
  <c r="E498" i="3"/>
  <c r="E419" i="3"/>
  <c r="E401" i="3"/>
  <c r="E40" i="3"/>
  <c r="E108" i="3"/>
  <c r="E119" i="3"/>
  <c r="E226" i="3"/>
  <c r="E333" i="3"/>
  <c r="L6" i="3"/>
  <c r="E43" i="3"/>
  <c r="E473" i="3"/>
  <c r="E455" i="3"/>
  <c r="E100" i="3"/>
  <c r="E329" i="3"/>
  <c r="E536" i="3"/>
  <c r="E149" i="3"/>
  <c r="E116" i="3"/>
  <c r="E286" i="3"/>
  <c r="AD6" i="3"/>
  <c r="E564"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9" i="3"/>
  <c r="E244" i="3"/>
  <c r="E223" i="3"/>
  <c r="E199" i="3"/>
  <c r="E312" i="3"/>
  <c r="E493" i="3"/>
  <c r="R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78" i="3"/>
  <c r="E129" i="3"/>
  <c r="E190" i="3"/>
  <c r="E174" i="3"/>
  <c r="E220" i="3"/>
  <c r="E165" i="3"/>
  <c r="E188" i="3"/>
  <c r="E212" i="3"/>
  <c r="E141" i="3"/>
  <c r="E393" i="3"/>
  <c r="E499"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07" i="3"/>
  <c r="E483" i="3"/>
  <c r="E463" i="3"/>
  <c r="E25" i="3"/>
  <c r="E178" i="3"/>
  <c r="E202" i="3"/>
  <c r="E242" i="3"/>
  <c r="E276" i="3"/>
  <c r="E346" i="3"/>
  <c r="E372" i="3"/>
  <c r="E60" i="3"/>
  <c r="E540" i="3"/>
  <c r="E15" i="3"/>
  <c r="E79" i="3"/>
  <c r="E38" i="3"/>
  <c r="E96" i="3"/>
  <c r="E234" i="3"/>
  <c r="E299" i="3"/>
  <c r="E325" i="3"/>
  <c r="AQ6" i="3"/>
  <c r="E36" i="3"/>
  <c r="E123" i="3"/>
  <c r="E289" i="3"/>
  <c r="E364" i="3"/>
  <c r="E20" i="3"/>
  <c r="E176" i="3"/>
  <c r="E265" i="3"/>
  <c r="E524" i="3"/>
  <c r="E158" i="3"/>
  <c r="E170" i="3"/>
  <c r="E275" i="3"/>
  <c r="E324" i="3"/>
  <c r="E342" i="3"/>
  <c r="E35" i="3"/>
  <c r="E34" i="3"/>
  <c r="E206" i="3"/>
  <c r="E251" i="3"/>
  <c r="E308" i="3"/>
  <c r="E137" i="3"/>
  <c r="E219" i="3"/>
  <c r="E339" i="3"/>
  <c r="E392" i="3"/>
  <c r="E52" i="3"/>
  <c r="E112" i="3"/>
  <c r="E147" i="3"/>
  <c r="E340" i="3"/>
  <c r="E50" i="3"/>
  <c r="E62" i="3"/>
  <c r="E218" i="3"/>
  <c r="E365" i="3"/>
  <c r="E101" i="3"/>
  <c r="AF6" i="3"/>
  <c r="E22" i="3"/>
  <c r="E194" i="3"/>
  <c r="E235" i="3"/>
  <c r="E383" i="3"/>
  <c r="E522" i="3"/>
  <c r="E86" i="3"/>
  <c r="E49" i="3"/>
  <c r="E232" i="3"/>
  <c r="E370" i="3"/>
  <c r="E102" i="3"/>
  <c r="E113" i="3"/>
  <c r="E287" i="3"/>
  <c r="E326" i="3"/>
  <c r="E83" i="3"/>
  <c r="E80" i="3"/>
  <c r="D18" i="53"/>
  <c r="B35" i="72" s="1"/>
  <c r="C7" i="74"/>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9"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V3" i="43" l="1"/>
  <c r="C6" i="69"/>
  <c r="C7" i="69"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8"/>
  <c r="D10" i="69"/>
  <c r="C34" i="69"/>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8" i="69" l="1"/>
  <c r="C5" i="69" s="1"/>
  <c r="B29" i="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8" i="68" l="1"/>
  <c r="C5" i="68" s="1"/>
  <c r="C23" i="68" s="1"/>
  <c r="C18" i="12"/>
  <c r="C21"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C22" i="12" l="1"/>
  <c r="C27" i="12"/>
  <c r="C25" i="12" s="1"/>
  <c r="C30" i="12"/>
  <c r="C28" i="12" s="1"/>
  <c r="C32" i="12" s="1"/>
  <c r="B2" i="12" s="1"/>
  <c r="B3" i="12" s="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19" i="9"/>
  <c r="L51" i="15"/>
  <c r="D2" i="36"/>
  <c r="D2" i="37"/>
  <c r="D2" i="34"/>
  <c r="D2" i="35"/>
  <c r="C102" i="9" l="1"/>
  <c r="C21" i="9"/>
  <c r="D102" i="9"/>
  <c r="D21" i="9"/>
  <c r="G19" i="9"/>
  <c r="G21" i="9" s="1"/>
  <c r="D22"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D20" i="9"/>
  <c r="AO6" i="1"/>
  <c r="AO7" i="1"/>
  <c r="AO8" i="1"/>
  <c r="AO10" i="1"/>
  <c r="AO9" i="1"/>
  <c r="AO11" i="1"/>
  <c r="AO12" i="1"/>
  <c r="C103" i="9" l="1"/>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R24" i="31"/>
  <c r="C35" i="9"/>
  <c r="C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S24" i="31" l="1"/>
  <c r="R25" i="31"/>
  <c r="S25" i="31" s="1"/>
  <c r="C42" i="40"/>
  <c r="C43" i="40"/>
  <c r="E47" i="40"/>
  <c r="F47" i="40" s="1"/>
  <c r="E46" i="40"/>
  <c r="F46" i="40" s="1"/>
  <c r="I47" i="40"/>
  <c r="J47" i="40" s="1"/>
  <c r="S22" i="31" l="1"/>
  <c r="D14" i="74" s="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E14" i="74"/>
  <c r="F14" i="74"/>
  <c r="B5" i="74"/>
  <c r="D5" i="74" s="1"/>
  <c r="B6" i="74" l="1"/>
  <c r="D6" i="74" s="1"/>
  <c r="G118" i="9"/>
  <c r="G4" i="52" s="1"/>
  <c r="B52" i="72" s="1"/>
  <c r="I118" i="9"/>
  <c r="C105" i="9" s="1"/>
  <c r="F118" i="9" l="1"/>
  <c r="F4" i="52" s="1"/>
  <c r="B51" i="72" s="1"/>
  <c r="I4" i="52"/>
  <c r="H102" i="9"/>
  <c r="H118" i="9"/>
  <c r="E118" i="9"/>
  <c r="F119" i="9" l="1"/>
  <c r="F5" i="52" s="1"/>
  <c r="B53" i="72" s="1"/>
  <c r="H119" i="9"/>
  <c r="H5" i="52" s="1"/>
  <c r="H101" i="9"/>
  <c r="H4" i="52"/>
  <c r="C104" i="9"/>
  <c r="D7" i="53"/>
  <c r="B21" i="72" s="1"/>
  <c r="C5" i="74"/>
  <c r="E4" i="52"/>
  <c r="B48" i="72" s="1"/>
  <c r="D118" i="9"/>
  <c r="D119" i="9" l="1"/>
  <c r="D5" i="52" s="1"/>
  <c r="B49" i="72" s="1"/>
  <c r="D4" i="52"/>
  <c r="B47" i="72" s="1"/>
  <c r="M48" i="9"/>
  <c r="D5" i="53"/>
  <c r="H107" i="9"/>
  <c r="D45" i="9"/>
  <c r="D6" i="53" l="1"/>
  <c r="B22" i="72" s="1"/>
  <c r="B20" i="72"/>
  <c r="D52" i="9"/>
  <c r="C64" i="9"/>
  <c r="C63" i="9" s="1"/>
  <c r="C67" i="9" s="1"/>
  <c r="C85" i="9"/>
  <c r="D53" i="9"/>
  <c r="D55" i="9"/>
  <c r="M53" i="9" s="1"/>
  <c r="C93" i="9"/>
  <c r="C86" i="9" s="1"/>
  <c r="C78" i="9"/>
  <c r="C73" i="9" s="1"/>
  <c r="C72" i="9"/>
  <c r="D122" i="9"/>
  <c r="H108" i="9"/>
  <c r="D13" i="53"/>
  <c r="C95" i="9" l="1"/>
  <c r="C96" i="9" s="1"/>
  <c r="E96" i="9" s="1"/>
  <c r="E97" i="9" s="1"/>
  <c r="C68" i="9"/>
  <c r="D54" i="9" s="1"/>
  <c r="D59" i="9"/>
  <c r="M55" i="9" s="1"/>
  <c r="D14" i="53"/>
  <c r="B32" i="72" s="1"/>
  <c r="B30" i="72"/>
  <c r="D15" i="53"/>
  <c r="B31" i="72" s="1"/>
  <c r="C6" i="74"/>
  <c r="D8" i="52"/>
  <c r="D123" i="9"/>
  <c r="D9" i="52" s="1"/>
  <c r="C79" i="9"/>
  <c r="C80" i="9" l="1"/>
  <c r="E80" i="9" s="1"/>
  <c r="E81" i="9" s="1"/>
  <c r="C81" i="9"/>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<sst xmlns="http://schemas.openxmlformats.org/spreadsheetml/2006/main" count="7828" uniqueCount="3424">
  <si>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</si>
  <si>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</si>
  <si>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</si>
  <si>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</si>
  <si>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</si>
  <si>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</si>
  <si>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</si>
  <si>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</si>
  <si>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</si>
  <si>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</si>
  <si>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</si>
  <si>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</si>
  <si>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</si>
  <si>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</si>
  <si>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</si>
  <si>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</si>
  <si>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</si>
  <si>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</si>
  <si>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</si>
  <si>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</si>
  <si>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</si>
  <si>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</si>
  <si>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</si>
  <si>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</si>
  <si>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</si>
  <si>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</si>
  <si>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</si>
  <si>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</si>
  <si>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</si>
  <si>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</si>
  <si>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</si>
  <si>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</si>
  <si>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</si>
  <si>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</si>
  <si>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</si>
  <si>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</si>
  <si>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</si>
  <si>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</si>
  <si>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</si>
  <si>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</si>
  <si>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</si>
  <si>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</si>
  <si>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</si>
  <si>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</si>
  <si>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</si>
  <si>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</si>
  <si>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</si>
  <si>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</si>
  <si>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</si>
  <si>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</si>
  <si>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</si>
  <si>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</si>
  <si>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</si>
  <si>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</si>
  <si>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</si>
  <si>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</si>
  <si>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</si>
  <si>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</si>
  <si>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</si>
  <si>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</si>
  <si>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</si>
  <si>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</si>
  <si>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</si>
  <si>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</si>
  <si>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</si>
  <si>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</si>
  <si>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</si>
  <si>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</si>
  <si>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</si>
  <si>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</si>
  <si>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</si>
  <si>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</si>
  <si>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</si>
  <si>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</si>
  <si>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</si>
  <si>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</si>
  <si>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</si>
  <si>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</si>
  <si>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</si>
  <si>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</si>
  <si>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</si>
  <si>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</si>
  <si>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</si>
  <si>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</si>
  <si>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</si>
  <si>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</si>
  <si>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</si>
  <si>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</si>
  <si>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</si>
  <si>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</si>
  <si>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</si>
  <si>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</si>
  <si>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</si>
  <si>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</si>
  <si>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</si>
  <si>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</si>
  <si>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</si>
  <si>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</si>
  <si>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</si>
  <si>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</si>
  <si>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</si>
  <si>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</si>
  <si>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</si>
  <si>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</si>
  <si>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</si>
  <si>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</si>
  <si>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</si>
  <si>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</si>
  <si>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</si>
  <si>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</si>
  <si>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</si>
  <si>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</si>
  <si>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</si>
  <si>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</si>
  <si>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</si>
  <si>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</si>
  <si>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</si>
  <si>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</si>
  <si>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</si>
  <si>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</si>
  <si>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</si>
  <si>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</si>
  <si>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</si>
  <si>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</si>
  <si>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</si>
  <si>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</si>
  <si>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</si>
  <si>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</si>
  <si>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</si>
  <si>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</si>
  <si>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</si>
  <si>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</si>
  <si>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</si>
  <si>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</si>
  <si>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</si>
  <si>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</si>
  <si>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</si>
  <si>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</si>
  <si>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</si>
  <si>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</si>
  <si>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</si>
  <si>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</si>
  <si>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</si>
  <si>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</si>
  <si>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</si>
  <si>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</si>
  <si>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</si>
  <si>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</si>
  <si>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</si>
  <si>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</si>
  <si>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</si>
  <si>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</si>
  <si>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</si>
  <si>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</si>
  <si>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</si>
  <si>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</si>
  <si>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</si>
  <si>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</si>
  <si>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</si>
  <si>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</si>
  <si>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</si>
  <si>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</si>
  <si>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</si>
  <si>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</si>
  <si>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</si>
  <si>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</si>
  <si>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</si>
  <si>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</si>
  <si>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</si>
  <si>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</si>
  <si>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</si>
  <si>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</si>
  <si>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</si>
  <si>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</si>
  <si>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</si>
  <si>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</si>
  <si>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</si>
  <si>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</si>
  <si>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</si>
  <si>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</si>
  <si>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</si>
  <si>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</si>
  <si>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</si>
  <si>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</si>
  <si>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</si>
  <si>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</si>
  <si>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</si>
  <si>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</si>
  <si>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</si>
  <si>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</si>
  <si>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</si>
  <si>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</si>
  <si>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</si>
  <si>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</si>
  <si>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</si>
  <si>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</si>
  <si>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</si>
  <si>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</si>
  <si>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</si>
  <si>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</si>
  <si>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</si>
  <si>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</si>
  <si>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</si>
  <si>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</si>
  <si>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</si>
  <si>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</si>
  <si>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</si>
  <si>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</si>
  <si>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</si>
  <si>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</si>
  <si>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</si>
  <si>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</si>
  <si>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</si>
  <si>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</si>
  <si>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</si>
  <si>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</si>
  <si>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</si>
  <si>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</si>
  <si>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</si>
  <si>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</si>
  <si>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</si>
  <si>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</si>
  <si>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</si>
  <si>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</si>
  <si>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</si>
  <si>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</si>
  <si>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</si>
  <si>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</si>
  <si>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</si>
  <si>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</si>
  <si>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</si>
  <si>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</si>
  <si>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</si>
  <si>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</si>
  <si>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</si>
  <si>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</si>
  <si>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</si>
  <si>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</si>
  <si>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</si>
  <si>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</si>
  <si>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</si>
  <si>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</si>
  <si>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</si>
  <si>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</si>
  <si>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</si>
  <si>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</si>
  <si>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</si>
  <si>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</si>
  <si>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</si>
  <si>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</si>
  <si>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</si>
  <si>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</si>
  <si>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</si>
  <si>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</si>
  <si>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</si>
  <si>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</si>
  <si>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</si>
  <si>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</si>
  <si>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</si>
  <si>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</si>
  <si>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</si>
  <si>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</si>
  <si>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</si>
  <si>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</si>
  <si>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</si>
  <si>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</si>
  <si>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</si>
  <si>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</si>
  <si>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</si>
  <si>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</si>
  <si>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</si>
  <si>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</si>
  <si>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</si>
  <si>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</si>
  <si>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</si>
  <si>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</si>
  <si>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</si>
  <si>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</si>
  <si>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</si>
  <si>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</si>
  <si>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</si>
  <si>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</si>
  <si>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</si>
  <si>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</si>
  <si>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</si>
  <si>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</si>
  <si>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</si>
  <si>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</si>
  <si>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</si>
  <si>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</si>
  <si>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</si>
  <si>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</si>
  <si>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</si>
  <si>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</si>
  <si>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</si>
  <si>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</si>
  <si>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</si>
  <si>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</si>
  <si>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</si>
  <si>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</si>
  <si>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</si>
  <si>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</si>
  <si>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</si>
  <si>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</si>
  <si>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</si>
  <si>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</si>
  <si>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</si>
  <si>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</si>
  <si>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</si>
  <si>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</si>
  <si>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</si>
  <si>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</si>
  <si>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</si>
  <si>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</si>
  <si>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</si>
  <si>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</si>
  <si>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</si>
  <si>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</si>
  <si>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</si>
  <si>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</si>
  <si>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</si>
  <si>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</si>
  <si>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</si>
  <si>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</si>
  <si>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</si>
  <si>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</si>
  <si>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</si>
  <si>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</si>
  <si>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</si>
  <si>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</si>
  <si>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</si>
  <si>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</si>
  <si>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</si>
  <si>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</si>
  <si>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</si>
  <si>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</si>
  <si>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</si>
  <si>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</si>
  <si>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</si>
  <si>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</si>
  <si>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</si>
  <si>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</si>
  <si>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</si>
  <si>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</si>
  <si>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</si>
  <si>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</si>
  <si>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</si>
  <si>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</si>
  <si>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</si>
  <si>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</si>
  <si>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</si>
  <si>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</si>
  <si>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</si>
  <si>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</si>
  <si>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</si>
  <si>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</si>
  <si>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</si>
  <si>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</si>
  <si>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</si>
  <si>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</si>
  <si>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</si>
  <si>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</si>
  <si>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</si>
  <si>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</si>
  <si>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</si>
  <si>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</si>
  <si>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</si>
  <si>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</si>
  <si>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</si>
  <si>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</si>
  <si>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</si>
  <si>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</si>
  <si>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</si>
  <si>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</si>
  <si>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</si>
  <si>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</si>
  <si>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</si>
  <si>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</si>
  <si>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</si>
  <si>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</si>
  <si>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</si>
  <si>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</si>
  <si>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</si>
  <si>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</si>
  <si>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</si>
  <si>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</si>
  <si>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</si>
  <si>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</si>
  <si>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</si>
  <si>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</si>
  <si>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</si>
  <si>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</si>
  <si>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</si>
  <si>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</si>
  <si>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</si>
  <si>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</si>
  <si>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</si>
  <si>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</si>
  <si>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</si>
  <si>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</si>
  <si>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</si>
  <si>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</si>
  <si>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</si>
  <si>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</si>
  <si>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</si>
  <si>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</si>
  <si>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</si>
  <si>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</si>
  <si>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</si>
  <si>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</si>
  <si>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</si>
  <si>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</si>
  <si>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</si>
  <si>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</si>
  <si>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</si>
  <si>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</si>
  <si>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</si>
  <si>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</si>
  <si>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</si>
  <si>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</si>
  <si>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</si>
  <si>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</si>
  <si>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</si>
  <si>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</si>
  <si>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</si>
  <si>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</si>
  <si>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</si>
  <si>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</si>
  <si>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</si>
  <si>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</si>
  <si>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</si>
  <si>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</si>
  <si>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</si>
  <si>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</si>
  <si>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</si>
  <si>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</si>
  <si>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</si>
  <si>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</si>
  <si>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</si>
  <si>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</si>
  <si>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</si>
  <si>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</si>
  <si>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</si>
  <si>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</si>
  <si>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</si>
  <si>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</si>
  <si>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</si>
  <si>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</si>
  <si>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</si>
  <si>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</si>
  <si>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</si>
  <si>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</si>
  <si>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</si>
  <si>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</si>
  <si>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</si>
  <si>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</si>
  <si>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</si>
  <si>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</si>
  <si>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</si>
  <si>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</si>
  <si>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</si>
  <si>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</si>
  <si>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</si>
  <si>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</si>
  <si>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</si>
  <si>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</si>
  <si>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</si>
  <si>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</si>
  <si>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</si>
  <si>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</si>
  <si>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</si>
  <si>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</si>
  <si>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</si>
  <si>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</si>
  <si>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</si>
  <si>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</si>
  <si>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</si>
  <si>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</si>
  <si>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</si>
  <si>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</si>
  <si>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</si>
  <si>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</si>
  <si>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</si>
  <si>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</si>
  <si>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</si>
  <si>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</si>
  <si>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</si>
  <si>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</si>
  <si>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</si>
  <si>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</si>
  <si>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</si>
  <si>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</si>
  <si>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</si>
  <si>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</si>
  <si>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</si>
  <si>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</si>
  <si>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</si>
  <si>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</si>
  <si>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</si>
  <si>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</si>
  <si>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</si>
  <si>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</si>
  <si>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</si>
  <si>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</si>
  <si>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</si>
  <si>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</si>
  <si>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</si>
  <si>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</si>
  <si>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</si>
  <si>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</si>
  <si>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</si>
  <si>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</si>
  <si>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</si>
  <si>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</si>
  <si>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</si>
  <si>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</si>
  <si>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</si>
  <si>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</si>
  <si>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</si>
  <si>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</si>
  <si>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</si>
  <si>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</si>
  <si>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</si>
  <si>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</si>
  <si>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</si>
  <si>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</si>
  <si>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</si>
  <si>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</si>
  <si>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</si>
  <si>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</si>
  <si>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</si>
  <si>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</si>
  <si>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</si>
  <si>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</si>
  <si>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</si>
  <si>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</si>
  <si>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</si>
  <si>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</si>
  <si>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</si>
  <si>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</si>
  <si>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</si>
  <si>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</si>
  <si>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</si>
  <si>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</si>
  <si>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</si>
  <si>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</si>
  <si>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</si>
  <si>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</si>
  <si>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</si>
  <si>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</si>
  <si>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</si>
  <si>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</si>
  <si>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</si>
  <si>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</si>
  <si>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</si>
  <si>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</si>
  <si>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</si>
  <si>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</si>
  <si>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</si>
  <si>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</si>
  <si>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</si>
  <si>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</si>
  <si>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</si>
  <si>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</si>
  <si>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</si>
  <si>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</si>
  <si>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</si>
  <si>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</si>
  <si>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</si>
  <si>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</si>
  <si>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</si>
  <si>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</si>
  <si>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</si>
  <si>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</si>
  <si>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</si>
  <si>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</si>
  <si>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</si>
  <si>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</si>
  <si>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</si>
  <si>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</si>
  <si>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</si>
  <si>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</si>
  <si>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</si>
  <si>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</si>
  <si>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</si>
  <si>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</si>
  <si>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</si>
  <si>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</si>
  <si>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</si>
  <si>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</si>
  <si>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</si>
  <si>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</si>
  <si>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</si>
  <si>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</si>
  <si>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</si>
  <si>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</si>
  <si>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</si>
  <si>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</si>
  <si>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</si>
  <si>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</si>
  <si>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</si>
  <si>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</si>
  <si>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</si>
  <si>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</si>
  <si>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</si>
  <si>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</si>
  <si>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</si>
  <si>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</si>
  <si>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</si>
  <si>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</si>
  <si>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</si>
  <si>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</si>
  <si>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</si>
  <si>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</si>
  <si>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</si>
  <si>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</si>
  <si>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</si>
  <si>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</si>
  <si>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</si>
  <si>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</si>
  <si>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</si>
  <si>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</si>
  <si>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</si>
  <si>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</si>
  <si>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</si>
  <si>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</si>
  <si>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</si>
  <si>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</si>
  <si>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</si>
  <si>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</si>
  <si>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</si>
  <si>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</si>
  <si>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</si>
  <si>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</si>
  <si>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</si>
  <si>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</si>
  <si>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</si>
  <si>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</si>
  <si>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</si>
  <si>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</si>
  <si>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</si>
  <si>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</si>
  <si>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</si>
  <si>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</si>
  <si>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</si>
  <si>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</si>
  <si>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</si>
  <si>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</si>
  <si>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</si>
  <si>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</si>
  <si>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</si>
  <si>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</si>
  <si>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</si>
  <si>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</si>
  <si>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</si>
  <si>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</si>
  <si>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</si>
  <si>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</si>
  <si>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</si>
  <si>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</si>
  <si>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</si>
  <si>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</si>
  <si>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</si>
  <si>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</si>
  <si>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</si>
  <si>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</si>
  <si>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</si>
  <si>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</si>
  <si>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</si>
  <si>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</si>
  <si>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</si>
  <si>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</si>
  <si>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</si>
  <si>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</si>
  <si>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</si>
  <si>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</si>
  <si>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</si>
  <si>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</si>
  <si>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</si>
  <si>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</si>
  <si>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</si>
  <si>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</si>
  <si>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</si>
  <si>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</si>
  <si>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</si>
  <si>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</si>
  <si>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</si>
  <si>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</si>
  <si>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</si>
  <si>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</si>
  <si>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</si>
  <si>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</si>
  <si>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</si>
  <si>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</si>
  <si>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</si>
  <si>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</si>
  <si>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</si>
  <si>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</si>
  <si>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</si>
  <si>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</si>
  <si>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</si>
  <si>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</si>
  <si>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</si>
  <si>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</si>
  <si>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</si>
  <si>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</si>
  <si>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</si>
  <si>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</si>
  <si>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</si>
  <si>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</si>
  <si>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</si>
  <si>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</si>
  <si>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</si>
  <si>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</si>
  <si>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</si>
  <si>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</si>
  <si>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</si>
  <si>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</si>
  <si>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</si>
  <si>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</si>
  <si>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</si>
  <si>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</si>
  <si>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</si>
  <si>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</si>
  <si>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</si>
  <si>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</si>
  <si>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</si>
  <si>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</si>
  <si>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</si>
  <si>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</si>
  <si>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</si>
  <si>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</si>
  <si>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</si>
  <si>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</si>
  <si>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</si>
  <si>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</si>
  <si>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</si>
  <si>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</si>
  <si>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</si>
  <si>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</si>
  <si>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</si>
  <si>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</si>
  <si>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</si>
  <si>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</si>
  <si>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</si>
  <si>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</si>
  <si>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</si>
  <si>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</si>
  <si>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</si>
  <si>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</si>
  <si>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</si>
  <si>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</si>
  <si>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</si>
  <si>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</si>
  <si>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</si>
  <si>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</si>
  <si>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</si>
  <si>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</si>
  <si>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</si>
  <si>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</si>
  <si>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</si>
  <si>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</si>
  <si>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</si>
  <si>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</si>
  <si>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</si>
  <si>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</si>
  <si>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</si>
  <si>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</si>
  <si>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</si>
  <si>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</si>
  <si>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</si>
  <si>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</si>
  <si>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</si>
  <si>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</si>
  <si>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</si>
  <si>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</si>
  <si>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</si>
  <si>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</si>
  <si>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</si>
  <si>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</si>
  <si>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</si>
  <si>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</si>
  <si>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</si>
  <si>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</si>
  <si>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</si>
  <si>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</si>
  <si>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</si>
  <si>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</si>
  <si>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</si>
  <si>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</si>
  <si>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</si>
  <si>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</si>
  <si>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</si>
  <si>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</si>
  <si>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</si>
  <si>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</si>
  <si>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</si>
  <si>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</si>
  <si>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</si>
  <si>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</si>
  <si>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</si>
  <si>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</si>
  <si>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</si>
  <si>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</si>
  <si>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</si>
  <si>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</si>
  <si>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</si>
  <si>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</si>
  <si>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</si>
  <si>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</si>
  <si>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</si>
  <si>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</si>
  <si>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</si>
  <si>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</si>
  <si>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</si>
  <si>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</si>
  <si>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</si>
  <si>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</si>
  <si>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</si>
  <si>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</si>
  <si>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</si>
  <si>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</si>
  <si>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</si>
  <si>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</si>
  <si>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</si>
  <si>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</si>
  <si>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</si>
  <si>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</si>
  <si>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</si>
  <si>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</si>
  <si>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</si>
  <si>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</si>
  <si>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</si>
  <si>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</si>
  <si>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</si>
  <si>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</si>
  <si>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</si>
  <si>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</si>
  <si>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</si>
  <si>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</si>
  <si>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</si>
  <si>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</si>
  <si>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</si>
  <si>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</si>
  <si>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</si>
  <si>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</si>
  <si>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</si>
  <si>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</si>
  <si>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</si>
  <si>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</si>
  <si>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</si>
  <si>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</si>
  <si>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</si>
  <si>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</si>
  <si>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</si>
  <si>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</si>
  <si>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</si>
  <si>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</si>
  <si>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</si>
  <si>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</si>
  <si>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</si>
  <si>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</si>
  <si>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</si>
  <si>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</si>
  <si>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</si>
  <si>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</si>
  <si>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</si>
  <si>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</si>
  <si>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</si>
  <si>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</si>
  <si>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</si>
  <si>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</si>
  <si>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</si>
  <si>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</si>
  <si>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</si>
  <si>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</si>
  <si>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</si>
  <si>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</si>
  <si>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</si>
  <si>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</si>
  <si>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</si>
  <si>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</si>
  <si>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</si>
  <si>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</si>
  <si>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</si>
  <si>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</si>
  <si>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</si>
  <si>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</si>
  <si>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</si>
  <si>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</si>
  <si>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</si>
  <si>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</si>
  <si>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</si>
  <si>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</si>
  <si>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</si>
  <si>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</si>
  <si>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</si>
  <si>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</si>
  <si>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</si>
  <si>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</si>
  <si>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</si>
  <si>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</si>
  <si>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</si>
  <si>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</si>
  <si>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</si>
  <si>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</si>
  <si>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</si>
  <si>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</si>
  <si>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</si>
  <si>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</si>
  <si>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</si>
  <si>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</si>
  <si>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</si>
  <si>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</si>
  <si>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</si>
  <si>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</si>
  <si>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</si>
  <si>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</si>
  <si>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</si>
  <si>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</si>
  <si>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</si>
  <si>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</si>
  <si>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</si>
  <si>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</si>
  <si>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</si>
  <si>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</si>
  <si>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</si>
  <si>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</si>
  <si>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</si>
  <si>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</si>
  <si>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</si>
  <si>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</si>
  <si>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</si>
  <si>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</si>
  <si>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</si>
  <si>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</si>
  <si>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</si>
  <si>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</si>
  <si>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</si>
  <si>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</si>
  <si>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</si>
  <si>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</si>
  <si>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</si>
  <si>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</si>
  <si>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</si>
  <si>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</si>
  <si>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</si>
  <si>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</si>
  <si>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</si>
  <si>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</si>
  <si>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</si>
  <si>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</si>
  <si>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</si>
  <si>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</si>
  <si>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</si>
  <si>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</si>
  <si>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</si>
  <si>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</si>
  <si>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</si>
  <si>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</si>
  <si>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</si>
  <si>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</si>
  <si>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</si>
  <si>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</si>
  <si>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</si>
  <si>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</si>
  <si>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</si>
  <si>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</si>
  <si>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</si>
  <si>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</si>
  <si>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</si>
  <si>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</si>
  <si>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</si>
  <si>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</si>
  <si>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</si>
  <si>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</si>
  <si>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</si>
  <si>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</si>
  <si>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</si>
  <si>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</si>
  <si>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</si>
  <si>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</si>
  <si>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</si>
  <si>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</si>
  <si>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</si>
  <si>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</si>
  <si>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</si>
  <si>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</si>
  <si>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</si>
  <si>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</si>
  <si>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</si>
  <si>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</si>
  <si>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</si>
  <si>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</si>
  <si>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</si>
  <si>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</si>
  <si>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</si>
  <si>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</si>
  <si>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</si>
  <si>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</si>
  <si>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</si>
  <si>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</si>
  <si>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</si>
  <si>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</si>
  <si>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</si>
  <si>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</si>
  <si>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</si>
  <si>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</si>
  <si>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</si>
  <si>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</si>
  <si>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</si>
  <si>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</si>
  <si>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</si>
  <si>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</si>
  <si>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</si>
  <si>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</si>
  <si>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</si>
  <si>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</si>
  <si>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</si>
  <si>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</si>
  <si>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</si>
  <si>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</si>
  <si>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</si>
  <si>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</si>
  <si>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</si>
  <si>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</si>
  <si>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</si>
  <si>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</si>
  <si>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</si>
  <si>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</si>
  <si>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</si>
  <si>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</si>
  <si>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</si>
  <si>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</si>
  <si>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</si>
  <si>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</si>
  <si>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</si>
  <si>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</si>
  <si>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</si>
  <si>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</si>
  <si>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</si>
  <si>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</si>
  <si>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</si>
  <si>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</si>
  <si>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</si>
  <si>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</si>
  <si>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</si>
  <si>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</si>
  <si>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</si>
  <si>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</si>
  <si>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</si>
  <si>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</si>
  <si>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</si>
  <si>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</si>
  <si>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</si>
  <si>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</si>
  <si>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</si>
  <si>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</si>
  <si>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</si>
  <si>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</si>
  <si>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</si>
  <si>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</si>
  <si>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</si>
  <si>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</si>
  <si>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</si>
  <si>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</si>
  <si>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</si>
  <si>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</si>
  <si>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</si>
  <si>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</si>
  <si>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</si>
  <si>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</si>
  <si>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</si>
  <si>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</si>
  <si>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</si>
  <si>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</si>
  <si>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</si>
  <si>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</si>
  <si>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</si>
  <si>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</si>
  <si>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</si>
  <si>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</si>
  <si>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</si>
  <si>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</si>
  <si>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</si>
  <si>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</si>
  <si>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</si>
  <si>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</si>
  <si>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</si>
  <si>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</si>
  <si>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</si>
  <si>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</si>
  <si>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</si>
  <si>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</si>
  <si>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</si>
  <si>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</si>
  <si>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</si>
  <si>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</si>
  <si>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</si>
  <si>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</si>
  <si>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</si>
  <si>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</si>
  <si>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</si>
  <si>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</si>
  <si>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</si>
  <si>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</si>
  <si>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</si>
  <si>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</si>
  <si>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</si>
  <si>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</si>
  <si>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</si>
  <si>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</si>
  <si>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</si>
  <si>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</si>
  <si>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</si>
  <si>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</si>
  <si>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</si>
  <si>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</si>
  <si>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</si>
  <si>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</si>
  <si>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</si>
  <si>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</si>
  <si>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</si>
  <si>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</si>
  <si>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</si>
  <si>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</si>
  <si>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</si>
  <si>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</si>
  <si>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</si>
  <si>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</si>
  <si>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</si>
  <si>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</si>
  <si>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</si>
  <si>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</si>
  <si>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</si>
  <si>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</si>
  <si>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</si>
  <si>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</si>
  <si>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</si>
  <si>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</si>
  <si>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</si>
  <si>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</si>
  <si>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</si>
  <si>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</si>
  <si>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</si>
  <si>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</si>
  <si>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</si>
  <si>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</si>
  <si>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</si>
  <si>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</si>
  <si>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</si>
  <si>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</si>
  <si>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</si>
  <si>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</si>
  <si>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</si>
  <si>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</si>
  <si>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</si>
  <si>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</si>
  <si>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</si>
  <si>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</si>
  <si>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</si>
  <si>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</si>
  <si>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</si>
  <si>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</si>
  <si>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</si>
  <si>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</si>
  <si>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</si>
  <si>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</si>
  <si>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</si>
  <si>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</si>
  <si>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</si>
  <si>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</si>
  <si>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</si>
  <si>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</si>
  <si>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</si>
  <si>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</si>
  <si>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</si>
  <si>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</si>
  <si>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</si>
  <si>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</si>
  <si>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</si>
  <si>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</si>
  <si>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</si>
  <si>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</si>
  <si>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</si>
  <si>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</si>
  <si>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</si>
  <si>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</si>
  <si>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</si>
  <si>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</si>
  <si>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</si>
  <si>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</si>
  <si>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</si>
  <si>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</si>
  <si>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</si>
  <si>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</si>
  <si>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</si>
  <si>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</si>
  <si>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</si>
  <si>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</si>
  <si>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</si>
  <si>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</si>
  <si>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</si>
  <si>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</si>
  <si>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</si>
  <si>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</si>
  <si>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</si>
  <si>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</si>
  <si>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</si>
  <si>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</si>
  <si>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</si>
  <si>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</si>
  <si>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</si>
  <si>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</si>
  <si>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</si>
  <si>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</si>
  <si>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</si>
  <si>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</si>
  <si>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</si>
  <si>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</si>
  <si>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</si>
  <si>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</si>
  <si>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</si>
  <si>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</si>
  <si>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</si>
  <si>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</si>
  <si>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</si>
  <si>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</si>
  <si>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</si>
  <si>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</si>
  <si>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</si>
  <si>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</si>
  <si>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</si>
  <si>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</si>
  <si>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</si>
  <si>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</si>
  <si>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</si>
  <si>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</si>
  <si>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</si>
  <si>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</si>
  <si>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</si>
  <si>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</si>
  <si>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</si>
  <si>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</si>
  <si>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</si>
  <si>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</si>
  <si>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</si>
  <si>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</si>
  <si>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</si>
  <si>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</si>
  <si>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</si>
  <si>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</si>
  <si>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</si>
  <si>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</si>
  <si>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</si>
  <si>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</si>
  <si>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</si>
  <si>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</si>
  <si>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</si>
  <si>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</si>
  <si>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</si>
  <si>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</si>
  <si>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</si>
  <si>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</si>
  <si>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</si>
  <si>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</si>
  <si>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</si>
  <si>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</si>
  <si>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</si>
  <si>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</si>
  <si>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</si>
  <si>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</si>
  <si>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</si>
  <si>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</si>
  <si>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</si>
  <si>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</si>
  <si>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</si>
  <si>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</si>
  <si>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</si>
  <si>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</si>
  <si>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</si>
  <si>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</si>
  <si>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</si>
  <si>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</si>
  <si>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</si>
  <si>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</si>
  <si>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</si>
  <si>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</si>
  <si>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</si>
  <si>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</si>
  <si>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</si>
  <si>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</si>
  <si>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</si>
  <si>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</si>
  <si>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</si>
  <si>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</si>
  <si>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</si>
  <si>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</si>
  <si>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</si>
  <si>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</si>
  <si>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</si>
  <si>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</si>
  <si>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</si>
  <si>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</si>
  <si>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</si>
  <si>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</si>
  <si>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</si>
  <si>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</si>
  <si>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</si>
  <si>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</si>
  <si>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</si>
  <si>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</si>
  <si>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</si>
  <si>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</si>
  <si>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</si>
  <si>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</si>
  <si>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</si>
  <si>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</si>
  <si>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</si>
  <si>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</si>
  <si>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</si>
  <si>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</si>
  <si>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</si>
  <si>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</si>
  <si>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</si>
  <si>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</si>
  <si>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</si>
  <si>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</si>
  <si>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</si>
  <si>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</si>
  <si>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</si>
  <si>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</si>
  <si>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</si>
  <si>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</si>
  <si>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</si>
  <si>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</si>
  <si>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</si>
  <si>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</si>
  <si>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</si>
  <si>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</si>
  <si>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</si>
  <si>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</si>
  <si>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</si>
  <si>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</si>
  <si>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</si>
  <si>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</si>
  <si>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</si>
  <si>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</si>
  <si>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</si>
  <si>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</si>
  <si>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</si>
  <si>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</si>
  <si>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</si>
  <si>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</si>
  <si>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</si>
  <si>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</si>
  <si>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</si>
  <si>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</si>
  <si>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</si>
  <si>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</si>
  <si>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</si>
  <si>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</si>
  <si>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</si>
  <si>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</si>
  <si>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</si>
  <si>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</si>
  <si>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</si>
  <si>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</si>
  <si>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</si>
  <si>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</si>
  <si>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</si>
  <si>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</si>
  <si>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</si>
  <si>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</si>
  <si>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</si>
  <si>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</si>
  <si>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</si>
  <si>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</si>
  <si>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</si>
  <si>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</si>
  <si>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</si>
  <si>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</si>
  <si>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</si>
  <si>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</si>
  <si>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</si>
  <si>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</si>
  <si>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</si>
  <si>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</si>
  <si>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</si>
  <si>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</si>
  <si>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</si>
  <si>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</si>
  <si>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</si>
  <si>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</si>
  <si>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</si>
  <si>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</si>
  <si>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</si>
  <si>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</si>
  <si>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</si>
  <si>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</si>
  <si>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</si>
  <si>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</si>
  <si>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</si>
  <si>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</si>
  <si>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</si>
  <si>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</si>
  <si>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</si>
  <si>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</si>
  <si>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</si>
  <si>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</si>
  <si>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</si>
  <si>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</si>
  <si>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</si>
  <si>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</si>
  <si>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</si>
  <si>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</si>
  <si>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</si>
  <si>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</si>
  <si>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</si>
  <si>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</si>
  <si>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</si>
  <si>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</si>
  <si>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</si>
  <si>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</si>
  <si>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</si>
  <si>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</si>
  <si>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</si>
  <si>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</si>
  <si>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</si>
  <si>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</si>
  <si>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</si>
  <si>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</si>
  <si>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</si>
  <si>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</si>
  <si>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</si>
  <si>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</si>
  <si>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</si>
  <si>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</si>
  <si>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</si>
  <si>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</si>
  <si>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</si>
  <si>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</si>
  <si>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</si>
  <si>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</si>
  <si>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</si>
  <si>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</si>
  <si>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</si>
  <si>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</si>
  <si>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</si>
  <si>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</si>
  <si>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</si>
  <si>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</si>
  <si>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</si>
  <si>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</si>
  <si>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</si>
  <si>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</si>
  <si>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</si>
  <si>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</si>
  <si>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</si>
  <si>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</si>
  <si>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</si>
  <si>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</si>
  <si>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</si>
  <si>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</si>
  <si>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</si>
  <si>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</si>
  <si>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</si>
  <si>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</si>
  <si>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</si>
  <si>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</si>
  <si>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</si>
  <si>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</si>
  <si>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</si>
  <si>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</si>
  <si>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</si>
  <si>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</si>
  <si>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</si>
  <si>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</si>
  <si>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</si>
  <si>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</si>
  <si>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</si>
  <si>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</si>
  <si>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</si>
  <si>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</si>
  <si>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</si>
  <si>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</si>
  <si>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</si>
  <si>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</si>
  <si>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</si>
  <si>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</si>
  <si>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</si>
  <si>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</si>
  <si>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</si>
  <si>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</si>
  <si>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</si>
  <si>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</si>
  <si>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</si>
  <si>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</si>
  <si>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</si>
  <si>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</si>
  <si>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</si>
  <si>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</si>
  <si>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</si>
  <si>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</si>
  <si>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</si>
  <si>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</si>
  <si>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</si>
  <si>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</si>
  <si>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</si>
  <si>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</si>
  <si>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</si>
  <si>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</si>
  <si>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</si>
  <si>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</si>
  <si>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</si>
  <si>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</si>
  <si>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</si>
  <si>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</si>
  <si>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</si>
  <si>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</si>
  <si>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</si>
  <si>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</si>
  <si>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</si>
  <si>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</si>
  <si>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</si>
  <si>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</si>
  <si>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</si>
  <si>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</si>
  <si>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</si>
  <si>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</si>
  <si>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</si>
  <si>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</si>
  <si>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</si>
  <si>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</si>
  <si>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</si>
  <si>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</si>
  <si>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</si>
  <si>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</si>
  <si>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</si>
  <si>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</si>
  <si>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</si>
  <si>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</si>
  <si>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</si>
  <si>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</si>
  <si>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</si>
  <si>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</si>
  <si>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</si>
  <si>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</si>
  <si>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</si>
  <si>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</si>
  <si>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</si>
  <si>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</si>
  <si>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</si>
  <si>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</si>
  <si>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</si>
  <si>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</si>
  <si>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</si>
  <si>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</si>
  <si>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</si>
  <si>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</si>
  <si>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</si>
  <si>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</si>
  <si>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</si>
  <si>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</si>
  <si>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</si>
  <si>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</si>
  <si>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</si>
  <si>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</si>
  <si>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</si>
  <si>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</si>
  <si>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</si>
  <si>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</si>
  <si>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</si>
  <si>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</si>
  <si>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</si>
  <si>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</si>
  <si>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</si>
  <si>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</si>
  <si>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</si>
  <si>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</si>
  <si>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</si>
  <si>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</si>
  <si>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</si>
  <si>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</si>
  <si>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</si>
  <si>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</si>
  <si>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</si>
  <si>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</si>
  <si>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</si>
  <si>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</si>
  <si>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</si>
  <si>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</si>
  <si>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</si>
  <si>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</si>
  <si>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</si>
  <si>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</si>
  <si>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</si>
  <si>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</si>
  <si>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</si>
  <si>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</si>
  <si>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</si>
  <si>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</si>
  <si>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</si>
  <si>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</si>
  <si>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</si>
  <si>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</si>
  <si>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</si>
  <si>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</si>
  <si>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</si>
  <si>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</si>
  <si>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</si>
  <si>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</si>
  <si>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</si>
  <si>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</si>
  <si>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</si>
  <si>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</si>
  <si>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</si>
  <si>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</si>
  <si>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</si>
  <si>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</si>
  <si>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</si>
  <si>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</si>
  <si>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</si>
  <si>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</si>
  <si>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</si>
  <si>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</si>
  <si>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</si>
  <si>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</si>
  <si>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</si>
  <si>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</si>
  <si>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</si>
  <si>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</si>
  <si>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</si>
  <si>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</si>
  <si>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</si>
  <si>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</si>
  <si>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</si>
  <si>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</si>
  <si>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</si>
  <si>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</si>
  <si>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</si>
  <si>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</si>
  <si>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</si>
  <si>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</si>
  <si>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</si>
  <si>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</si>
  <si>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</si>
  <si>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</si>
  <si>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</si>
  <si>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</si>
  <si>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</si>
  <si>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</si>
  <si>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</si>
  <si>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</si>
  <si>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</si>
  <si>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</si>
  <si>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</si>
  <si>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</si>
  <si>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</si>
  <si>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</si>
  <si>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</si>
  <si>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</si>
  <si>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</si>
  <si>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</si>
  <si>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</si>
  <si>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</si>
  <si>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</si>
  <si>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</si>
  <si>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</si>
  <si>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</si>
  <si>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</si>
  <si>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</si>
  <si>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</si>
  <si>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</si>
  <si>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</si>
  <si>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</si>
  <si>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</si>
  <si>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</si>
  <si>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</si>
  <si>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</si>
  <si>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</si>
  <si>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</si>
  <si>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</si>
  <si>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</si>
  <si>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</si>
  <si>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</si>
  <si>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</si>
  <si>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</si>
  <si>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</si>
  <si>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</si>
  <si>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</si>
  <si>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</si>
  <si>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</si>
  <si>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</si>
  <si>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</si>
  <si>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</si>
  <si>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</si>
  <si>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</si>
  <si>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</si>
  <si>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</si>
  <si>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</si>
  <si>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</si>
  <si>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</si>
  <si>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</si>
  <si>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</si>
  <si>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</si>
  <si>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</si>
  <si>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</si>
  <si>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</si>
  <si>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</si>
  <si>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</si>
  <si>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</si>
  <si>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</si>
  <si>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</si>
  <si>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</si>
  <si>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</si>
  <si>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</si>
  <si>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</si>
  <si>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</si>
  <si>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</si>
  <si>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</si>
  <si>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</si>
  <si>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</si>
  <si>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</si>
  <si>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</si>
  <si>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</si>
  <si>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</si>
  <si>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</si>
  <si>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</si>
  <si>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</si>
  <si>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</si>
  <si>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</si>
  <si>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</si>
  <si>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</si>
  <si>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</si>
  <si>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</si>
  <si>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</si>
  <si>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</si>
  <si>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</si>
  <si>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</si>
  <si>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</si>
  <si>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</si>
  <si>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</si>
  <si>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</si>
  <si>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</si>
  <si>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</si>
  <si>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</si>
  <si>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</si>
  <si>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</si>
  <si>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</si>
  <si>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</si>
  <si>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</si>
  <si>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</si>
  <si>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</si>
  <si>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</si>
  <si>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</si>
  <si>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</si>
  <si>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</si>
  <si>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</si>
  <si>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</si>
  <si>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</si>
  <si>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</si>
  <si>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</si>
  <si>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</si>
  <si>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</si>
  <si>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</si>
  <si>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</si>
  <si>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</si>
  <si>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</si>
  <si>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</si>
  <si>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</si>
  <si>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</si>
  <si>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</si>
  <si>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</si>
  <si>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</si>
  <si>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</si>
  <si>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</si>
  <si>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</si>
  <si>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</si>
  <si>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</si>
  <si>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</si>
  <si>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</si>
  <si>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</si>
  <si>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</si>
  <si>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</si>
  <si>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</si>
  <si>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</si>
  <si>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</si>
  <si>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</si>
  <si>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</si>
  <si>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</si>
  <si>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</si>
  <si>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</si>
  <si>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</si>
  <si>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</si>
  <si>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</si>
  <si>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</si>
  <si>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</si>
  <si>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</si>
  <si>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</si>
  <si>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</si>
  <si>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</si>
  <si>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</si>
  <si>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</si>
  <si>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</si>
  <si>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</si>
  <si>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</si>
  <si>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</si>
  <si>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</si>
  <si>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</si>
  <si>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</si>
  <si>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</si>
  <si>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</si>
  <si>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</si>
  <si>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</si>
  <si>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</si>
  <si>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</si>
  <si>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</si>
  <si>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</si>
  <si>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</si>
  <si>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</si>
  <si>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</si>
  <si>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</si>
  <si>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</si>
  <si>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</si>
  <si>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</si>
  <si>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</si>
  <si>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</si>
  <si>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</si>
  <si>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</si>
  <si>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</si>
  <si>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</si>
  <si>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</si>
  <si>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</si>
  <si>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</si>
  <si>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</si>
  <si>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</si>
  <si>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</si>
  <si>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</si>
  <si>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</si>
  <si>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</si>
  <si>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</si>
  <si>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</si>
  <si>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</si>
  <si>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</si>
  <si>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</si>
  <si>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</si>
  <si>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</si>
  <si>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</si>
  <si>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</si>
  <si>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</si>
  <si>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</si>
  <si>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</si>
  <si>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</si>
  <si>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</si>
  <si>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</si>
  <si>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</si>
  <si>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</si>
  <si>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</si>
  <si>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</si>
  <si>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</si>
  <si>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</si>
  <si>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</si>
  <si>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</si>
  <si>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</si>
  <si>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</si>
  <si>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</si>
  <si>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</si>
  <si>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</si>
  <si>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</si>
  <si>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</si>
  <si>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</si>
  <si>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</si>
  <si>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</si>
  <si>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</si>
  <si>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</si>
  <si>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</si>
  <si>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</si>
  <si>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</si>
  <si>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</si>
  <si>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</si>
  <si>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</si>
  <si>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</si>
  <si>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</si>
  <si>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</si>
  <si>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</si>
  <si>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</si>
  <si>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</si>
  <si>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</si>
  <si>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</si>
  <si>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</si>
  <si>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</si>
  <si>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</si>
  <si>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</si>
  <si>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</si>
  <si>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</si>
  <si>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</si>
  <si>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</si>
  <si>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</si>
  <si>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</si>
  <si>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</si>
  <si>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</si>
  <si>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</si>
  <si>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</si>
  <si>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</si>
  <si>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</si>
  <si>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</si>
  <si>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</si>
  <si>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</si>
  <si>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</si>
  <si>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</si>
  <si>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</si>
  <si>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</si>
  <si>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</si>
  <si>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</si>
  <si>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</si>
  <si>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</si>
  <si>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</si>
  <si>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</si>
  <si>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</si>
  <si>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</si>
  <si>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</si>
  <si>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</si>
  <si>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</si>
  <si>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</si>
  <si>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</si>
  <si>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</si>
  <si>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</si>
  <si>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</si>
  <si>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</si>
  <si>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</si>
  <si>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</si>
  <si>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</si>
  <si>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</si>
  <si>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</si>
  <si>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</si>
  <si>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</si>
  <si>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</si>
  <si>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</si>
  <si>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</si>
  <si>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</si>
  <si>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</si>
  <si>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</si>
  <si>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</si>
  <si>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</si>
  <si>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</si>
  <si>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</si>
  <si>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</si>
  <si>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</si>
  <si>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</si>
  <si>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</si>
  <si>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</si>
  <si>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</si>
  <si>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</si>
  <si>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</si>
  <si>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</si>
  <si>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</si>
  <si>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</si>
  <si>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</si>
  <si>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</si>
  <si>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</si>
  <si>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</si>
  <si>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</si>
  <si>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</si>
  <si>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</si>
  <si>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</si>
  <si>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</si>
  <si>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</si>
  <si>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</si>
  <si>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</si>
  <si>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</si>
  <si>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</si>
  <si>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</si>
  <si>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</si>
  <si>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</si>
  <si>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</si>
  <si>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</si>
  <si>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</si>
  <si>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</si>
  <si>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</si>
  <si>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</si>
  <si>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</si>
  <si>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</si>
  <si>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</si>
  <si>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</si>
  <si>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</si>
  <si>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</si>
  <si>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</si>
  <si>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</si>
  <si>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</si>
  <si>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</si>
  <si>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</si>
  <si>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</si>
  <si>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</si>
  <si>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</si>
  <si>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</si>
  <si>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</si>
  <si>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</si>
  <si>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</si>
  <si>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</si>
  <si>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</si>
  <si>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</si>
  <si>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</si>
  <si>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</si>
  <si>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</si>
  <si>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</si>
  <si>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</si>
  <si>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</si>
  <si>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</si>
  <si>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</si>
  <si>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</si>
  <si>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</si>
  <si>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</si>
  <si>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</si>
  <si>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</si>
  <si>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</si>
  <si>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</si>
  <si>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</si>
  <si>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</si>
  <si>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</si>
  <si>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</si>
  <si>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</si>
  <si>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</si>
  <si>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</si>
  <si>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</si>
  <si>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</si>
  <si>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</si>
  <si>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</si>
  <si>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</si>
  <si>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</si>
  <si>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</si>
  <si>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</si>
  <si>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</si>
  <si>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</si>
  <si>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</si>
  <si>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</si>
  <si>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</si>
  <si>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</si>
  <si>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</si>
  <si>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</si>
  <si>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</si>
  <si>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</si>
  <si>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</si>
  <si>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</si>
  <si>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</si>
  <si>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</si>
  <si>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</si>
  <si>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</si>
  <si>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</si>
  <si>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</si>
  <si>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</si>
  <si>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</si>
  <si>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</si>
  <si>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</si>
  <si>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</si>
  <si>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</si>
  <si>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</si>
  <si>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</si>
  <si>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</si>
  <si>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</si>
  <si>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</si>
  <si>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</si>
  <si>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</si>
  <si>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</si>
  <si>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</si>
  <si>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</si>
  <si>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</si>
  <si>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</si>
  <si>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</si>
  <si>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</si>
  <si>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</si>
  <si>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</si>
  <si>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</si>
  <si>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</si>
  <si>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</si>
  <si>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</si>
  <si>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</si>
  <si>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</si>
  <si>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</si>
  <si>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</si>
  <si>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</si>
  <si>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</si>
  <si>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</si>
  <si>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</si>
  <si>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</si>
  <si>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</si>
  <si>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</si>
  <si>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</si>
  <si>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</si>
  <si>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</si>
  <si>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</si>
  <si>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</si>
  <si>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</si>
  <si>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</si>
  <si>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</si>
  <si>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</si>
  <si>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</si>
  <si>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</si>
  <si>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</si>
  <si>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</si>
  <si>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</si>
  <si>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</si>
  <si>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</si>
  <si>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</si>
  <si>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</si>
  <si>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</si>
  <si>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</si>
  <si>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</si>
  <si>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</si>
  <si>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</si>
  <si>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</si>
  <si>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</si>
  <si>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</si>
  <si>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</si>
  <si>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</si>
  <si>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</si>
  <si>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</si>
  <si>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</si>
  <si>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</si>
  <si>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</si>
  <si>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</si>
  <si>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</si>
  <si>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</si>
  <si>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</si>
  <si>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</si>
  <si>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</si>
  <si>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</si>
  <si>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</si>
  <si>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</si>
  <si>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</si>
  <si>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</si>
  <si>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</si>
  <si>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</si>
  <si>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</si>
  <si>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</si>
  <si>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</si>
  <si>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</si>
  <si>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</si>
  <si>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</si>
  <si>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</si>
  <si>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</si>
  <si>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</si>
  <si>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</si>
  <si>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</si>
  <si>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</si>
  <si>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</si>
  <si>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</si>
  <si>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</si>
  <si>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</si>
  <si>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</si>
  <si>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</si>
  <si>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</si>
  <si>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</si>
  <si>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</si>
  <si>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</si>
  <si>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</si>
  <si>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</si>
  <si>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</si>
  <si>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</si>
  <si>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</si>
  <si>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</si>
  <si>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</si>
  <si>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</si>
  <si>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</si>
  <si>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</si>
  <si>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</si>
  <si>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</si>
  <si>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</si>
  <si>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</si>
  <si>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</si>
  <si>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</si>
  <si>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</si>
  <si>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</si>
  <si>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</si>
  <si>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</si>
  <si>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</si>
  <si>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</si>
  <si>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</si>
  <si>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</si>
  <si>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</si>
  <si>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</si>
  <si>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</si>
  <si>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</si>
  <si>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</si>
  <si>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</si>
  <si>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</si>
  <si>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</si>
  <si>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</si>
  <si>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</si>
  <si>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</si>
  <si>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</si>
  <si>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</si>
  <si>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</si>
  <si>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</si>
  <si>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</si>
  <si>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</si>
  <si>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</si>
  <si>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</si>
  <si>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</si>
  <si>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</si>
  <si>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</si>
  <si>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</si>
  <si>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</si>
  <si>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</si>
  <si>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</si>
  <si>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</si>
  <si>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</si>
  <si>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</si>
  <si>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</si>
  <si>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</si>
  <si>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</si>
  <si>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</si>
  <si>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</si>
  <si>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</si>
  <si>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</si>
  <si>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</si>
  <si>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</si>
  <si>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</si>
  <si>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</si>
  <si>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</si>
  <si>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</si>
  <si>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</si>
  <si>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</si>
  <si>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</si>
  <si>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</si>
  <si>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</si>
  <si>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</si>
  <si>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</si>
  <si>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</si>
  <si>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</si>
  <si>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</si>
  <si>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</si>
  <si>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</si>
  <si>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</si>
  <si>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</si>
  <si>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</si>
  <si>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</si>
  <si>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</si>
  <si>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</si>
  <si>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</si>
  <si>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</si>
  <si>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</si>
  <si>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</si>
  <si>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</si>
  <si>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</si>
  <si>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</si>
  <si>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</si>
  <si>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</si>
  <si>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</si>
  <si>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</si>
  <si>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</si>
  <si>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</si>
  <si>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</si>
  <si>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</si>
  <si>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</si>
  <si>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</si>
  <si>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</si>
  <si>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</si>
  <si>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</si>
  <si>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</si>
  <si>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</si>
  <si>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</si>
  <si>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</si>
  <si>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</si>
  <si>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</si>
  <si>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</si>
  <si>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</si>
  <si>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</si>
  <si>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</si>
  <si>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</si>
  <si>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</si>
  <si>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</si>
  <si>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</si>
  <si>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</si>
  <si>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</si>
  <si>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</si>
  <si>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</si>
  <si>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</si>
  <si>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</si>
  <si>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</si>
  <si>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</si>
  <si>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</si>
  <si>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</si>
  <si>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</si>
  <si>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</si>
  <si>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</si>
  <si>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</si>
  <si>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</si>
  <si>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</si>
  <si>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</si>
  <si>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</si>
  <si>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</si>
  <si>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</si>
  <si>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</si>
  <si>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</si>
  <si>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</si>
  <si>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</si>
  <si>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</si>
  <si>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</si>
  <si>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</si>
  <si>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</si>
  <si>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</si>
  <si>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</si>
  <si>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</si>
  <si>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</si>
  <si>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</si>
  <si>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</si>
  <si>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</si>
  <si>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</si>
  <si>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</si>
  <si>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</si>
  <si>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</si>
  <si>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</si>
  <si>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</si>
  <si>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</si>
  <si>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</si>
  <si>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</si>
  <si>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</si>
  <si>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</si>
  <si>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</si>
  <si>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</si>
  <si>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</si>
  <si>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</si>
  <si>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</si>
  <si>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</si>
  <si>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</si>
  <si>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</si>
  <si>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</si>
  <si>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</si>
  <si>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</si>
  <si>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</si>
  <si>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</si>
  <si>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</si>
  <si>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</si>
  <si>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</si>
  <si>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</si>
  <si>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</si>
  <si>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</si>
  <si>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</si>
  <si>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</si>
  <si>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</si>
  <si>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</si>
  <si>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</si>
  <si>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</si>
  <si>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</si>
  <si>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</si>
  <si>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</si>
  <si>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</si>
  <si>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</si>
  <si>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</si>
  <si>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</si>
  <si>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</si>
  <si>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</si>
  <si>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</si>
  <si>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</si>
  <si>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</si>
  <si>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</si>
  <si>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</si>
  <si>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</si>
  <si>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</si>
  <si>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</si>
  <si>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</si>
  <si>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</si>
  <si>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</si>
  <si>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</si>
  <si>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</si>
  <si>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</si>
  <si>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</si>
  <si>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</si>
  <si>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</si>
  <si>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</si>
  <si>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</si>
  <si>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</si>
  <si>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</si>
  <si>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</si>
  <si>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</si>
  <si>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</si>
  <si>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</si>
  <si>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</si>
  <si>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</si>
  <si>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</si>
  <si>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</si>
  <si>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</si>
  <si>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</si>
  <si>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</si>
  <si>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</si>
  <si>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</si>
  <si>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</si>
  <si>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</si>
  <si>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</si>
  <si>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</si>
  <si>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</si>
  <si>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</si>
  <si>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</si>
  <si>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</si>
  <si>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</si>
  <si>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</si>
  <si>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</si>
  <si>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</si>
  <si>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</si>
  <si>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</si>
  <si>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</si>
  <si>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</si>
  <si>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</si>
  <si>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</si>
  <si>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</si>
  <si>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</si>
  <si>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</si>
  <si>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</si>
  <si>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</si>
  <si>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</si>
  <si>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</si>
  <si>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</si>
  <si>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</si>
  <si>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</si>
  <si>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</si>
  <si>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</si>
  <si>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</si>
  <si>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</si>
  <si>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</si>
  <si>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</si>
  <si>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</si>
  <si>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</si>
  <si>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</si>
  <si>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</si>
  <si>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</si>
  <si>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</si>
  <si>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</si>
  <si>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</si>
  <si>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</si>
  <si>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</si>
  <si>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</si>
  <si>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</si>
  <si>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</si>
  <si>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</si>
  <si>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</si>
  <si>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</si>
  <si>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</si>
  <si>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</si>
  <si>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</si>
  <si>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</si>
  <si>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</si>
  <si>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</si>
  <si>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</si>
  <si>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</si>
  <si>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</si>
  <si>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</si>
  <si>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</si>
  <si>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</si>
  <si>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</si>
  <si>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</si>
  <si>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</si>
  <si>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</si>
  <si>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</si>
  <si>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</si>
  <si>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</si>
  <si>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</si>
  <si>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</si>
  <si>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</si>
  <si>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</si>
  <si>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</si>
  <si>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</si>
  <si>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</si>
  <si>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</si>
  <si>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</si>
  <si>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</si>
  <si>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</si>
  <si>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</si>
  <si>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</si>
  <si>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</si>
  <si>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</si>
  <si>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</si>
  <si>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</si>
  <si>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</si>
  <si>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</si>
  <si>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</si>
  <si>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</si>
  <si>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</si>
  <si>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</si>
  <si>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</si>
  <si>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</si>
  <si>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</si>
  <si>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</si>
  <si>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</si>
  <si>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</si>
  <si>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</si>
  <si>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</si>
  <si>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</si>
  <si>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</si>
  <si>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</si>
  <si>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</si>
  <si>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</si>
  <si>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</si>
  <si>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</si>
  <si>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</si>
  <si>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</si>
  <si>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</si>
  <si>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</si>
  <si>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</si>
  <si>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</si>
  <si>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</si>
  <si>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</si>
  <si>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</si>
  <si>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</si>
  <si>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</si>
  <si>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</si>
  <si>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</si>
  <si>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</si>
  <si>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</si>
  <si>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</si>
  <si>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</si>
  <si>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</si>
  <si>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</si>
  <si>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</si>
  <si>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</si>
  <si>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</si>
  <si>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</si>
  <si>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</si>
  <si>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</si>
  <si>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</si>
  <si>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</si>
  <si>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</si>
  <si>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</si>
  <si>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</si>
  <si>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</si>
  <si>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</si>
  <si>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</si>
  <si>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</si>
  <si>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</si>
  <si>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</si>
  <si>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</si>
  <si>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</si>
  <si>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</si>
  <si>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</si>
  <si>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</si>
  <si>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</si>
  <si>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</si>
  <si>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</si>
  <si>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</si>
  <si>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</si>
  <si>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</si>
  <si>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</si>
  <si>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</si>
  <si>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</si>
  <si>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</si>
  <si>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</si>
  <si>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</si>
  <si>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</si>
  <si>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</si>
  <si>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</si>
  <si>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</si>
  <si>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</si>
  <si>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</si>
  <si>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</si>
  <si>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</si>
  <si>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</si>
  <si>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</si>
  <si>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</si>
  <si>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</si>
  <si>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</si>
  <si>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</si>
  <si>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</si>
  <si>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</si>
  <si>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</si>
  <si>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</si>
  <si>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</si>
  <si>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</si>
  <si>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</si>
  <si>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</si>
  <si>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</si>
  <si>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</si>
  <si>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</si>
  <si>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</si>
  <si>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</si>
  <si>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</si>
  <si>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</si>
  <si>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</si>
  <si>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</si>
  <si>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</si>
  <si>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</si>
  <si>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</si>
  <si>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</si>
  <si>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</si>
  <si>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</si>
  <si>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</si>
  <si>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</si>
  <si>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</si>
  <si>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</si>
  <si>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</si>
  <si>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</si>
  <si>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</si>
  <si>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</si>
  <si>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</si>
  <si>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</si>
  <si>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</si>
  <si>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</si>
  <si>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</si>
  <si>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</si>
  <si>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</si>
  <si>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</si>
  <si>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</si>
  <si>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</si>
  <si>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</si>
  <si>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</si>
  <si>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</si>
  <si>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</si>
  <si>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</si>
  <si>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</si>
  <si>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</si>
  <si>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</si>
  <si>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</si>
  <si>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</si>
  <si>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</si>
  <si>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</si>
  <si>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</si>
  <si>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</si>
  <si>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</si>
  <si>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</si>
  <si>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</si>
  <si>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</si>
  <si>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</si>
  <si>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</si>
  <si>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</si>
  <si>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</si>
  <si>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</si>
  <si>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</si>
  <si>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</si>
  <si>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</si>
  <si>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</si>
  <si>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</si>
  <si>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</si>
  <si>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</si>
  <si>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</si>
  <si>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</si>
  <si>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</si>
  <si>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</si>
  <si>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</si>
  <si>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</si>
  <si>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</si>
  <si>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</si>
  <si>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</si>
  <si>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</si>
  <si>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</si>
  <si>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</si>
  <si>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</si>
  <si>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</si>
  <si>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</si>
  <si>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</si>
  <si>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</si>
  <si>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</si>
  <si>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</si>
  <si>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</si>
  <si>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</si>
  <si>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</si>
  <si>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</si>
  <si>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</si>
  <si>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</si>
  <si>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</si>
  <si>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</si>
  <si>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</si>
  <si>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</si>
  <si>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</si>
  <si>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</si>
  <si>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</si>
  <si>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</si>
  <si>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</si>
  <si>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</si>
  <si>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</si>
  <si>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</si>
  <si>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</si>
  <si>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</si>
  <si>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</si>
  <si>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</si>
  <si>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</si>
  <si>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</si>
  <si>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</si>
  <si>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</si>
  <si>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</si>
  <si>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</si>
  <si>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</si>
  <si>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</si>
  <si>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</si>
  <si>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</si>
  <si>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</si>
  <si>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</si>
  <si>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</si>
  <si>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</si>
  <si>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</si>
  <si>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</si>
  <si>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</si>
  <si>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</si>
  <si>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</si>
  <si>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</si>
  <si>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</si>
  <si>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</si>
  <si>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</si>
  <si>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</si>
  <si>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</si>
  <si>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</si>
  <si>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</si>
  <si>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</si>
  <si>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</si>
  <si>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</si>
  <si>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</si>
  <si>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</si>
  <si>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</si>
  <si>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</si>
  <si>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</si>
  <si>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</si>
  <si>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</si>
  <si>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</si>
  <si>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</si>
  <si>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</si>
  <si>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</si>
  <si>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</si>
  <si>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</si>
  <si>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</si>
  <si>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</si>
  <si>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</si>
  <si>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</si>
  <si>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</si>
  <si>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</si>
  <si>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</si>
  <si>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</si>
  <si>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</si>
  <si>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</si>
  <si>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</si>
  <si>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</si>
  <si>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</si>
  <si>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</si>
  <si>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</si>
  <si>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</si>
  <si>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</si>
  <si>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</si>
  <si>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</si>
  <si>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</si>
  <si>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</si>
  <si>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</si>
  <si>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</si>
  <si>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</si>
  <si>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</si>
  <si>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</si>
  <si>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</si>
  <si>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</si>
  <si>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</si>
  <si>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</si>
  <si>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</si>
  <si>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</si>
  <si>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</si>
  <si>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</si>
  <si>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</si>
  <si>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</si>
  <si>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</si>
  <si>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</si>
  <si>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</si>
  <si>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</si>
  <si>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</si>
  <si>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</si>
  <si>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</si>
  <si>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</si>
  <si>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</si>
  <si>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</si>
  <si>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</si>
  <si>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</si>
  <si>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</si>
  <si>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</si>
  <si>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</si>
  <si>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</si>
  <si>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</si>
  <si>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</si>
  <si>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</si>
  <si>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</si>
  <si>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</si>
  <si>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</si>
  <si>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</si>
  <si>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</si>
  <si>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</si>
  <si>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</si>
  <si>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</si>
  <si>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</si>
  <si>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</si>
  <si>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</si>
  <si>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</si>
  <si>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</si>
  <si>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</si>
  <si>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</si>
  <si>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</si>
  <si>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</si>
  <si>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</si>
  <si>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</si>
  <si>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</si>
  <si>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</si>
  <si>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</si>
  <si>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</si>
  <si>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</si>
  <si>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</si>
  <si>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</si>
  <si>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</si>
  <si>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</si>
  <si>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</si>
  <si>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</si>
  <si>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</si>
  <si>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</si>
  <si>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</si>
  <si>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</si>
  <si>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</si>
  <si>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</si>
  <si>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</si>
  <si>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</si>
  <si>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</si>
  <si>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</si>
  <si>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</si>
  <si>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</si>
  <si>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</si>
  <si>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</si>
  <si>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</si>
  <si>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</si>
  <si>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</si>
  <si>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</si>
  <si>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</si>
  <si>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</si>
  <si>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</si>
  <si>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</si>
  <si>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</si>
  <si>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</si>
  <si>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</si>
  <si>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</si>
  <si>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</si>
  <si>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</si>
  <si>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</si>
  <si>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</si>
  <si>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</si>
  <si>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</si>
  <si>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</si>
  <si>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</si>
  <si>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</si>
  <si>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</si>
  <si>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</si>
  <si>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</si>
  <si>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</si>
  <si>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</si>
  <si>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</si>
  <si>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</si>
  <si>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</si>
  <si>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</si>
  <si>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</si>
  <si>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</si>
  <si>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</si>
  <si>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</si>
  <si>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</si>
  <si>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</si>
  <si>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</si>
  <si>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</si>
  <si>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</si>
  <si>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</si>
  <si>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</si>
  <si>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</si>
  <si>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</si>
  <si>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</si>
  <si>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</si>
  <si>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</si>
  <si>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</si>
  <si>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</si>
  <si>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</si>
  <si>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</si>
  <si>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</si>
  <si>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</si>
  <si>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</si>
  <si>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</si>
  <si>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</si>
  <si>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</si>
  <si>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</si>
  <si>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</si>
  <si>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</si>
  <si>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</si>
  <si>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</si>
  <si>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</si>
  <si>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</si>
  <si>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</si>
  <si>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</si>
  <si>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</si>
  <si>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</si>
  <si>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</si>
  <si>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</si>
  <si>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</si>
  <si>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</si>
  <si>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</si>
  <si>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</si>
  <si>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</si>
  <si>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</si>
  <si>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</si>
  <si>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</si>
  <si>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</si>
  <si>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</si>
  <si>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</si>
  <si>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</si>
  <si>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</si>
  <si>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</si>
  <si>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</si>
  <si>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</si>
  <si>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</si>
  <si>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</si>
  <si>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</si>
  <si>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</si>
  <si>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</si>
  <si>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</si>
  <si>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</si>
  <si>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</si>
  <si>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</si>
  <si>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</si>
  <si>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</si>
  <si>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</si>
  <si>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</si>
  <si>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</si>
  <si>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</si>
  <si>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</si>
  <si>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</si>
  <si>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</si>
  <si>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</si>
  <si>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</si>
  <si>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</si>
  <si>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</si>
  <si>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</si>
  <si>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</si>
  <si>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</si>
  <si>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</si>
  <si>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</si>
  <si>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</si>
  <si>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</si>
  <si>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</si>
  <si>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</si>
  <si>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</si>
  <si>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</si>
  <si>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</si>
  <si>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</si>
  <si>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</si>
  <si>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</si>
  <si>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</si>
  <si>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</si>
  <si>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</si>
  <si>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</si>
  <si>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</si>
  <si>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</si>
  <si>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</si>
  <si>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</si>
  <si>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</si>
  <si>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</si>
  <si>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</si>
  <si>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</si>
  <si>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</si>
  <si>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</si>
  <si>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</si>
  <si>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</si>
  <si>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</si>
  <si>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</si>
  <si>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</si>
  <si>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</si>
  <si>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</si>
  <si>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</si>
  <si>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</si>
  <si>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</si>
  <si>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</si>
  <si>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</si>
  <si>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</si>
  <si>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</si>
  <si>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</si>
  <si>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</si>
  <si>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</si>
  <si>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</si>
  <si>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</si>
  <si>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</si>
  <si>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</si>
  <si>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</si>
  <si>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</si>
  <si>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</si>
  <si>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</si>
  <si>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</si>
  <si>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</si>
  <si>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</si>
  <si>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</si>
  <si>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</si>
  <si>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</si>
  <si>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</si>
  <si>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</si>
  <si>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</si>
  <si>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</si>
  <si>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</si>
  <si>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</si>
  <si>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</si>
  <si>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</si>
  <si>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</si>
  <si>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</si>
  <si>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</si>
  <si>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</si>
  <si>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</si>
  <si>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</si>
  <si>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</si>
  <si>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</si>
  <si>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</si>
  <si>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</si>
  <si>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</si>
  <si>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</si>
  <si>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</si>
  <si>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</si>
  <si>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</si>
  <si>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</si>
  <si>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</si>
  <si>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</si>
  <si>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</si>
  <si>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</si>
  <si>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</si>
  <si>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</si>
  <si>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</si>
  <si>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</si>
  <si>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</si>
  <si>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</si>
  <si>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</si>
  <si>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</si>
  <si>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</si>
  <si>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</si>
  <si>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</si>
  <si>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</si>
  <si>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</si>
  <si>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</si>
  <si>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</si>
  <si>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</si>
  <si>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</si>
  <si>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</si>
  <si>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</si>
  <si>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</si>
  <si>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</si>
  <si>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</si>
  <si>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</si>
  <si>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</si>
  <si>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</si>
  <si>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</si>
  <si>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</si>
  <si>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</si>
  <si>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</si>
  <si>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</si>
  <si>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</si>
  <si>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</si>
  <si>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</si>
  <si>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</si>
  <si>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</si>
  <si>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</si>
  <si>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</si>
  <si>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</si>
  <si>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</si>
  <si>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</si>
  <si>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</si>
  <si>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</si>
  <si>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</si>
  <si>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</si>
  <si>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</si>
  <si>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</si>
  <si>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</si>
  <si>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</si>
  <si>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</si>
  <si>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</si>
  <si>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</si>
  <si>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</si>
  <si>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</si>
  <si>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</si>
  <si>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</si>
  <si>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</si>
  <si>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</si>
  <si>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</si>
  <si>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</si>
  <si>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</si>
  <si>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</si>
  <si>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</si>
  <si>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</si>
  <si>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</si>
  <si>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</si>
  <si>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</si>
  <si>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</si>
  <si>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</si>
  <si>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</si>
  <si>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</si>
  <si>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</si>
  <si>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</si>
  <si>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</si>
  <si>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</si>
  <si>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</si>
  <si>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</si>
  <si>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</si>
  <si>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</si>
  <si>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</si>
  <si>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</si>
  <si>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</si>
  <si>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</si>
  <si>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</si>
  <si>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</si>
  <si>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</si>
  <si>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</si>
  <si>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</si>
  <si>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</si>
  <si>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</si>
  <si>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</si>
  <si>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</si>
  <si>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</si>
  <si>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</si>
  <si>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</si>
  <si>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</si>
  <si>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</si>
  <si>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</si>
  <si>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</si>
  <si>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</si>
  <si>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</si>
  <si>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</si>
  <si>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</si>
  <si>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</si>
  <si>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</si>
  <si>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</si>
  <si>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</si>
  <si>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</si>
  <si>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</si>
  <si>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</si>
  <si>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</si>
  <si>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</si>
  <si>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</si>
  <si>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</si>
  <si>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</si>
  <si>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</si>
  <si>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</si>
  <si>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</si>
  <si>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</si>
  <si>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</si>
  <si>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</si>
  <si>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</si>
  <si>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</si>
  <si>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</si>
  <si>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</si>
  <si>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</si>
  <si>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</si>
  <si>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</si>
  <si>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</si>
  <si>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</si>
  <si>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</si>
  <si>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</si>
  <si>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</si>
  <si>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</si>
  <si>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</si>
  <si>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</si>
  <si>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</si>
  <si>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</si>
  <si>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</si>
  <si>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</si>
  <si>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</si>
  <si>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</si>
  <si>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</si>
  <si>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</si>
  <si>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</si>
  <si>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</si>
  <si>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</si>
  <si>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</si>
  <si>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</si>
  <si>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</si>
  <si>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</si>
  <si>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</si>
  <si>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</si>
  <si>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</si>
  <si>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</si>
  <si>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</si>
  <si>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</si>
  <si>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</si>
  <si>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</si>
  <si>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</si>
  <si>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</si>
  <si>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</si>
  <si>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</si>
  <si>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</si>
  <si>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</si>
  <si>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</si>
  <si>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</si>
  <si>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</si>
  <si>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</si>
  <si>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</si>
  <si>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</si>
  <si>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</si>
  <si>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</si>
  <si>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</si>
  <si>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</si>
  <si>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</si>
  <si>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</si>
  <si>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</si>
  <si>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</si>
  <si>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</si>
  <si>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</si>
  <si>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</si>
  <si>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</si>
  <si>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</si>
  <si>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</si>
  <si>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</si>
  <si>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</si>
  <si>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</si>
  <si>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</si>
  <si>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</si>
  <si>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</si>
  <si>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</si>
  <si>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</si>
  <si>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</si>
  <si>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</si>
  <si>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</si>
  <si>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</si>
  <si>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</si>
  <si>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</si>
  <si>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</si>
  <si>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</si>
  <si>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</si>
  <si>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</si>
  <si>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</si>
  <si>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</si>
  <si>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</si>
  <si>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</si>
  <si>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</si>
  <si>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</si>
  <si>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</si>
  <si>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</si>
  <si>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</si>
  <si>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</si>
  <si>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</si>
  <si>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</si>
  <si>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</si>
  <si>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</si>
  <si>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</si>
  <si>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</si>
  <si>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</si>
  <si>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</si>
  <si>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</si>
  <si>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</si>
  <si>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</si>
  <si>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</si>
  <si>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</si>
  <si>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</si>
  <si>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</si>
  <si>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</si>
  <si>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</si>
  <si>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</si>
  <si>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</si>
  <si>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</si>
  <si>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</si>
  <si>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</si>
  <si>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</si>
  <si>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</si>
  <si>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</si>
  <si>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</si>
  <si>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</si>
  <si>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</si>
  <si>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</si>
  <si>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</si>
  <si>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</si>
  <si>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</si>
  <si>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</si>
  <si>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</si>
  <si>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</si>
  <si>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</si>
  <si>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</si>
  <si>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</si>
  <si>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</si>
  <si>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</si>
  <si>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</si>
  <si>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</si>
  <si>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</si>
  <si>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</si>
  <si>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</si>
  <si>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</si>
  <si>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</si>
  <si>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</si>
  <si>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</si>
  <si>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</si>
  <si>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</si>
  <si>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</si>
  <si>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</si>
  <si>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</si>
  <si>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</si>
  <si>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</si>
  <si>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</si>
  <si>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</si>
  <si>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</si>
  <si>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</si>
  <si>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</si>
  <si>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</si>
  <si>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</si>
  <si>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</si>
  <si>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</si>
  <si>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</si>
  <si>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</si>
  <si>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</si>
  <si>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</si>
  <si>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</si>
  <si>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</si>
  <si>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</si>
  <si>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</si>
  <si>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</si>
  <si>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</si>
  <si>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</si>
  <si>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</si>
  <si>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</si>
  <si>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</si>
  <si>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</si>
  <si>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</si>
  <si>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</si>
  <si>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</si>
  <si>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</si>
  <si>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</si>
  <si>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</si>
  <si>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</si>
  <si>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</si>
  <si>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</si>
  <si>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</si>
  <si>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</si>
  <si>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</si>
  <si>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</si>
  <si>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</si>
  <si>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</si>
  <si>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</si>
  <si>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</si>
  <si>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</si>
  <si>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</si>
  <si>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</si>
  <si>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</si>
  <si>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</si>
  <si>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</si>
  <si>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</si>
  <si>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</si>
  <si>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</si>
  <si>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</si>
  <si>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</si>
  <si>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</si>
  <si>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</si>
  <si>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</si>
  <si>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</si>
  <si>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</si>
  <si>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</si>
  <si>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</si>
  <si>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</si>
  <si>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</si>
  <si>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</si>
  <si>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</si>
  <si>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</si>
  <si>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</si>
  <si>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</si>
  <si>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</si>
  <si>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</si>
  <si>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</si>
  <si>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</si>
  <si>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</si>
  <si>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</si>
  <si>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</si>
  <si>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</si>
  <si>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</si>
  <si>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</si>
  <si>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</si>
  <si>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</si>
  <si>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</si>
  <si>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</si>
  <si>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</si>
  <si>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</si>
  <si>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</si>
  <si>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</si>
  <si>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</si>
  <si>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</si>
  <si>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</si>
  <si>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</si>
  <si>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</si>
  <si>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</si>
  <si>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</si>
  <si>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</si>
  <si>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</si>
  <si>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</si>
  <si>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</si>
  <si>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</si>
  <si>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</si>
  <si>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</si>
  <si>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</si>
  <si>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</si>
  <si>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</si>
  <si>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</si>
  <si>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</si>
  <si>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</si>
  <si>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</si>
  <si>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</si>
  <si>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自然人</t>
  </si>
  <si>
    <t>是</t>
  </si>
  <si>
    <t>地上</t>
  </si>
  <si>
    <t>成新度</t>
  </si>
  <si>
    <r>
      <t>1</t>
    </r>
    <r>
      <rPr>
        <sz val="10"/>
        <color indexed="8"/>
        <rFont val="宋体"/>
        <family val="3"/>
        <charset val="134"/>
      </rPr>
      <t>层</t>
    </r>
    <phoneticPr fontId="3" type="noConversion"/>
  </si>
  <si>
    <r>
      <t>2</t>
    </r>
    <r>
      <rPr>
        <sz val="10"/>
        <color indexed="8"/>
        <rFont val="宋体"/>
        <family val="3"/>
        <charset val="134"/>
      </rPr>
      <t>层</t>
    </r>
    <phoneticPr fontId="3" type="noConversion"/>
  </si>
  <si>
    <t>租金</t>
    <phoneticPr fontId="3" type="noConversion"/>
  </si>
  <si>
    <t>建筑面积</t>
    <phoneticPr fontId="3" type="noConversion"/>
  </si>
  <si>
    <t>系数</t>
    <phoneticPr fontId="3" type="noConversion"/>
  </si>
  <si>
    <t>收益法 (元)</t>
  </si>
  <si>
    <t>押一</t>
  </si>
  <si>
    <t>钢混</t>
  </si>
  <si>
    <t>非生产用房</t>
  </si>
  <si>
    <t>自定义容积率</t>
  </si>
  <si>
    <t>不临65条商业街</t>
  </si>
  <si>
    <t>与级别开发程度不一致</t>
  </si>
  <si>
    <t>通路</t>
  </si>
  <si>
    <t>通电</t>
  </si>
  <si>
    <t>通讯</t>
  </si>
  <si>
    <t>通上水</t>
  </si>
  <si>
    <t>通下水</t>
  </si>
  <si>
    <t>平整</t>
  </si>
  <si>
    <t>楼层修正</t>
  </si>
  <si>
    <t>未包含在土地购买价格中</t>
  </si>
  <si>
    <t>已包含在土地取得成本中</t>
  </si>
  <si>
    <t>成本法 (元)</t>
  </si>
  <si>
    <t>售价</t>
  </si>
  <si>
    <t>太阳宫</t>
    <phoneticPr fontId="3" type="noConversion"/>
  </si>
  <si>
    <t>正常</t>
  </si>
  <si>
    <t>报价</t>
  </si>
  <si>
    <t>报价</t>
    <phoneticPr fontId="30" type="noConversion"/>
  </si>
  <si>
    <r>
      <t>2</t>
    </r>
    <r>
      <rPr>
        <sz val="11"/>
        <color indexed="8"/>
        <rFont val="宋体"/>
        <family val="3"/>
        <charset val="134"/>
      </rPr>
      <t>层</t>
    </r>
    <phoneticPr fontId="30" type="noConversion"/>
  </si>
  <si>
    <r>
      <t>1</t>
    </r>
    <r>
      <rPr>
        <sz val="11"/>
        <color indexed="8"/>
        <rFont val="宋体"/>
        <family val="3"/>
        <charset val="134"/>
      </rPr>
      <t>层</t>
    </r>
    <phoneticPr fontId="30" type="noConversion"/>
  </si>
  <si>
    <t>2层</t>
  </si>
  <si>
    <t>1层</t>
  </si>
  <si>
    <t>单套模式</t>
  </si>
  <si>
    <t>楼面单价</t>
  </si>
  <si>
    <t>自定义</t>
  </si>
  <si>
    <t>较好</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</si>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</sst>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7" fillId="0" borderId="1" xfId="0" applyFont="1" applyBorder="1" applyAlignment="1" applyProtection="1">
      <alignment horizontal="left" vertical="center" wrapText="1"/>
      <protection locked="0"/>
    </xf>
    <xf numFmtId="0" fontId="77" fillId="12" borderId="0" xfId="0" applyFont="1" applyFill="1" applyAlignment="1" applyProtection="1">
      <alignment vertical="center"/>
      <protection locked="0"/>
    </xf>
    <xf numFmtId="0" fontId="208" fillId="0" borderId="23"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485775</xdr:colOff>
      <xdr:row>27</xdr:row>
      <xdr:rowOff>14557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72175" cy="4643707"/>
        </a:xfrm>
        <a:prstGeom prst="rect">
          <a:avLst/>
        </a:prstGeom>
      </xdr:spPr>
    </xdr:pic>
    <xdr:clientData/>
  </xdr:twoCellAnchor>
  <xdr:twoCellAnchor editAs="oneCell">
    <xdr:from>
      <xdr:col>9</xdr:col>
      <xdr:colOff>0</xdr:colOff>
      <xdr:row>0</xdr:row>
      <xdr:rowOff>0</xdr:rowOff>
    </xdr:from>
    <xdr:to>
      <xdr:col>14</xdr:col>
      <xdr:colOff>390048</xdr:colOff>
      <xdr:row>6</xdr:row>
      <xdr:rowOff>161776</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0" y="0"/>
          <a:ext cx="3819048" cy="1190476"/>
        </a:xfrm>
        <a:prstGeom prst="rect">
          <a:avLst/>
        </a:prstGeom>
      </xdr:spPr>
    </xdr:pic>
    <xdr:clientData/>
  </xdr:twoCellAnchor>
  <xdr:twoCellAnchor editAs="oneCell">
    <xdr:from>
      <xdr:col>9</xdr:col>
      <xdr:colOff>0</xdr:colOff>
      <xdr:row>7</xdr:row>
      <xdr:rowOff>0</xdr:rowOff>
    </xdr:from>
    <xdr:to>
      <xdr:col>14</xdr:col>
      <xdr:colOff>437667</xdr:colOff>
      <xdr:row>13</xdr:row>
      <xdr:rowOff>114157</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0" y="1200150"/>
          <a:ext cx="3866667" cy="1142857"/>
        </a:xfrm>
        <a:prstGeom prst="rect">
          <a:avLst/>
        </a:prstGeom>
      </xdr:spPr>
    </xdr:pic>
    <xdr:clientData/>
  </xdr:twoCellAnchor>
  <xdr:twoCellAnchor editAs="oneCell">
    <xdr:from>
      <xdr:col>9</xdr:col>
      <xdr:colOff>0</xdr:colOff>
      <xdr:row>14</xdr:row>
      <xdr:rowOff>0</xdr:rowOff>
    </xdr:from>
    <xdr:to>
      <xdr:col>14</xdr:col>
      <xdr:colOff>342429</xdr:colOff>
      <xdr:row>20</xdr:row>
      <xdr:rowOff>142729</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0" y="2400300"/>
          <a:ext cx="3771429" cy="1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估价对象为北京市房地产，为所有。根据《国有土地使用证》[]，估价对象（分摊）出让国有建设用地使用权面积为0平方米，建筑面积为629.74平方米。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估价对象为北京市房地产,属开发建设的，该项目尚在开发建设中。根据《国有土地使用证》[]，估价对象（分摊）出让国有建设用地使用权面积为0平方米，规划建筑面积为629.74平方米。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2024年5月15日</v>
      </c>
    </row>
    <row r="13" spans="1:2" s="1203" customFormat="1">
      <c r="A13" s="1201" t="s">
        <v>529</v>
      </c>
      <c r="B13" s="1202" t="str">
        <f>'预评函-1'!A18</f>
        <v>本次估价的“房地产价值”是指在正常市场情况下，在价值时点2024年5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1563</v>
      </c>
    </row>
    <row r="21" spans="1:2" s="1203" customFormat="1">
      <c r="A21" s="1201" t="s">
        <v>537</v>
      </c>
      <c r="B21" s="1202">
        <f ca="1">'预评函-2'!D7</f>
        <v>42586</v>
      </c>
    </row>
    <row r="22" spans="1:2" s="1203" customFormat="1">
      <c r="A22" s="1201" t="s">
        <v>538</v>
      </c>
      <c r="B22" s="1202" t="str">
        <f ca="1">'预评函-2'!D6</f>
        <v>壹仟伍佰陆拾叁万元整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1563</v>
      </c>
    </row>
    <row r="31" spans="1:2" s="1203" customFormat="1">
      <c r="A31" s="1201" t="s">
        <v>576</v>
      </c>
      <c r="B31" s="1202">
        <f ca="1">'预评函-2'!D15</f>
        <v>42586</v>
      </c>
    </row>
    <row r="32" spans="1:2" s="1203" customFormat="1">
      <c r="A32" s="1201" t="s">
        <v>543</v>
      </c>
      <c r="B32" s="1202" t="str">
        <f ca="1">'预评函-2'!D14</f>
        <v>壹仟伍佰陆拾叁万元整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629.74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2580</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2581</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0" t="s">
        <v>2583</v>
      </c>
      <c r="J2" s="3490"/>
      <c r="K2" s="3490"/>
      <c r="L2" s="3490"/>
      <c r="M2" s="3490"/>
      <c r="N2" s="3490"/>
      <c r="O2" s="3490"/>
      <c r="P2" s="3490"/>
      <c r="Q2" s="3490"/>
      <c r="R2" s="3490"/>
    </row>
    <row r="3" spans="1:18">
      <c r="A3" s="3020" t="s">
        <v>2504</v>
      </c>
      <c r="B3" s="3021">
        <f>项目基本情况!D3</f>
        <v>45427</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2.59</v>
      </c>
      <c r="D5" s="3025">
        <f>IF(ISERROR(ROUND(POWER(1+E5,A5-C5)*(POWER(1+E5,C5)-1)/(POWER(1+E5,A5)-1),3)),0,ROUND(POWER(1+E5,A5-C5)*(POWER(1+E5,C5)-1)/(POWER(1+E5,A5)-1),4))</f>
        <v>0.122</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12.6</v>
      </c>
      <c r="D6" s="3025">
        <f>IF(ISERROR(ROUND(POWER(1+E6,A6-C6)*(POWER(1+E6,C6)-1)/(POWER(1+E6,A6)-1),3)),0,ROUND(POWER(1+E6,A6-C6)*(POWER(1+E6,C6)-1)/(POWER(1+E6,A6)-1),4))</f>
        <v>0.45379999999999998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32.61</v>
      </c>
      <c r="D7" s="3025">
        <f>IF(ISERROR(ROUND(POWER(1+E7,A7-C7)*(POWER(1+E7,C7)-1)/(POWER(1+E7,A7)-1),3)),0,ROUND(POWER(1+E7,A7-C7)*(POWER(1+E7,C7)-1)/(POWER(1+E7,A7)-1),4))</f>
        <v>0.7712</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52" sqref="N5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99" t="str">
        <f>IF(B10="北京市","北京市",C10)&amp;F10&amp;IF(结果表!G1="在建","出让国有建设用地使用权及在建建筑物",IF(结果表!G1="土地","出让国有建设用地使用权",))&amp;B9&amp;"预评估"</f>
        <v>北京市房地产抵押价值预评估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45427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3378</v>
      </c>
      <c r="C8" s="2390"/>
      <c r="D8" s="3502" t="s">
        <v>2176</v>
      </c>
      <c r="E8" s="2391"/>
      <c r="F8" s="2392"/>
      <c r="G8" s="2663"/>
      <c r="H8" s="2663"/>
      <c r="I8" s="2663"/>
      <c r="J8" s="2439"/>
      <c r="K8" s="2614"/>
      <c r="L8" s="2613"/>
      <c r="M8" s="2613"/>
      <c r="N8" s="2439"/>
      <c r="O8" s="2450"/>
      <c r="P8" s="2439"/>
      <c r="Q8" s="2439"/>
      <c r="R8" s="2439"/>
    </row>
    <row r="9" spans="1:30" ht="13.5" thickBot="1">
      <c r="A9" s="2393" t="s">
        <v>2177</v>
      </c>
      <c r="B9" s="2394" t="s">
        <v>3382</v>
      </c>
      <c r="C9" s="2395"/>
      <c r="D9" s="3503"/>
      <c r="E9" s="2394"/>
      <c r="F9" s="2396"/>
      <c r="G9" s="2665"/>
      <c r="H9" s="2665"/>
      <c r="I9" s="2665"/>
      <c r="J9" s="2439"/>
      <c r="K9" s="2616"/>
      <c r="L9" s="2613"/>
      <c r="M9" s="2613"/>
      <c r="N9" s="2439"/>
      <c r="O9" s="2450"/>
      <c r="P9" s="2439"/>
      <c r="Q9" s="2439"/>
      <c r="R9" s="2439"/>
    </row>
    <row r="10" spans="1:30" ht="13.5"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3335</v>
      </c>
      <c r="B13" s="2407" t="s">
        <v>2189</v>
      </c>
      <c r="C13" s="856"/>
      <c r="D13" s="856">
        <v>54193</v>
      </c>
      <c r="E13" s="856"/>
      <c r="F13" s="856"/>
      <c r="G13" s="856"/>
      <c r="H13" s="856"/>
      <c r="I13" s="856"/>
      <c r="J13" s="3062"/>
      <c r="K13" s="2613"/>
      <c r="L13" s="2613"/>
      <c r="M13" s="2439"/>
      <c r="N13" s="2450"/>
      <c r="O13" s="2439"/>
      <c r="P13" s="2439"/>
      <c r="Q13" s="2439"/>
      <c r="AD13" s="1745"/>
    </row>
    <row r="14" spans="1:30">
      <c r="A14" s="1081"/>
      <c r="B14" s="2407" t="s">
        <v>2190</v>
      </c>
      <c r="C14" s="2408"/>
      <c r="D14" s="2408">
        <v>40</v>
      </c>
      <c r="E14" s="2408"/>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24.01</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09"/>
      <c r="C16" s="3510"/>
      <c r="D16" s="3511"/>
      <c r="E16" s="2413" t="s">
        <v>2193</v>
      </c>
      <c r="F16" s="3512"/>
      <c r="G16" s="3513"/>
      <c r="H16" s="3513"/>
      <c r="I16" s="3514"/>
      <c r="J16" s="2439"/>
      <c r="K16" s="2617"/>
      <c r="L16" s="2451"/>
      <c r="M16" s="2451"/>
      <c r="N16" s="2509"/>
      <c r="O16" s="2451"/>
      <c r="P16" s="2509"/>
      <c r="Q16" s="2439"/>
      <c r="R16" s="2439"/>
    </row>
    <row r="17" spans="1:28">
      <c r="A17" s="313" t="s">
        <v>2194</v>
      </c>
      <c r="B17" s="302" t="s">
        <v>2195</v>
      </c>
      <c r="C17" s="8">
        <f>'数据-汇总表'!E3</f>
        <v>629.74</v>
      </c>
      <c r="D17" s="2322" t="s">
        <v>2196</v>
      </c>
      <c r="E17" s="3515" t="s">
        <v>2197</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18" t="s">
        <v>2201</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05" t="s">
        <v>2205</v>
      </c>
      <c r="C20" s="3506"/>
      <c r="D20" s="3507" t="s">
        <v>2206</v>
      </c>
      <c r="E20" s="3508"/>
      <c r="F20" s="2647" t="s">
        <v>1056</v>
      </c>
      <c r="G20" s="2664"/>
      <c r="H20" s="2664"/>
      <c r="I20" s="2664"/>
      <c r="J20" s="2439"/>
      <c r="K20" s="350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2"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2"/>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2"/>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3"/>
      <c r="B30" s="302" t="s">
        <v>2217</v>
      </c>
      <c r="C30" s="3494"/>
      <c r="D30" s="3495"/>
      <c r="E30" s="2664"/>
      <c r="F30" s="2664"/>
      <c r="G30" s="2664"/>
      <c r="H30" s="2664"/>
      <c r="I30" s="2664"/>
      <c r="J30" s="2439"/>
      <c r="K30" s="2616"/>
      <c r="L30" s="2613"/>
      <c r="M30" s="2613"/>
      <c r="N30" s="2439"/>
      <c r="O30" s="2450"/>
      <c r="P30" s="2439"/>
      <c r="Q30" s="2439"/>
      <c r="R30" s="2439"/>
      <c r="S30" s="2439"/>
      <c r="T30" s="2439"/>
      <c r="U30" s="2439"/>
      <c r="V30" s="2439"/>
    </row>
    <row r="31" spans="1:28">
      <c r="A31" s="3496"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491" t="s">
        <v>2227</v>
      </c>
      <c r="T34" s="2428" t="str">
        <f>NUMBERSTRING(7-K34,1)&amp;"通"</f>
        <v>七通</v>
      </c>
      <c r="U34" s="2439"/>
      <c r="V34" s="2439"/>
    </row>
    <row r="35" spans="1:30">
      <c r="A35" s="2429"/>
      <c r="B35" s="3498" t="s">
        <v>2228</v>
      </c>
      <c r="C35" s="3498"/>
      <c r="D35" s="3498"/>
      <c r="E35" s="349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1"/>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t="s">
        <v>296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2931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27" sqref="B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629.74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629.74</v>
      </c>
      <c r="H5" s="13">
        <f t="shared" ref="H5:AT5" si="0">SUM(H13:H656)</f>
        <v>629.74</v>
      </c>
      <c r="I5" s="13">
        <f t="shared" si="0"/>
        <v>629.74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629.74</v>
      </c>
      <c r="BA5" s="15">
        <f t="shared" si="1"/>
        <v>629.74</v>
      </c>
      <c r="BB5" s="15">
        <f t="shared" si="1"/>
        <v>629.74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788">
        <v>201</v>
      </c>
      <c r="D13" s="1625" t="s">
        <v>3385</v>
      </c>
      <c r="E13" s="13">
        <f>IF($C$3="是",ROUND($A$3*G13/$B$3,2),ROUND($A$3*(G13-AT13)/$B$3,2))</f>
        <v>0</v>
      </c>
      <c r="F13" s="29"/>
      <c r="G13" s="30">
        <f>H13+AC13+AT13</f>
        <v>366.91</v>
      </c>
      <c r="H13" s="17">
        <f>SUMIF(I$12:AB$12,"总值",I13:AB13)</f>
        <v>366.91</v>
      </c>
      <c r="I13" s="1626">
        <v>366.91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201</v>
      </c>
      <c r="AY13" s="1349">
        <f>ROUND($AY$6*AZ13/$AZ$5,2)</f>
        <v>0</v>
      </c>
      <c r="AZ13" s="13">
        <f>BA13+BL13</f>
        <v>366.91</v>
      </c>
      <c r="BA13" s="13">
        <f>SUM(BB13:BK13)</f>
        <v>366.91</v>
      </c>
      <c r="BB13" s="13">
        <f>IF($D13="是",I13-J13,0)</f>
        <v>366.91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788">
        <v>202</v>
      </c>
      <c r="D14" s="1625" t="s">
        <v>3385</v>
      </c>
      <c r="E14" s="13">
        <f>IF($C$3="是",ROUND($A$3*G14/$B$3,2),ROUND($A$3*(G14-AT14)/$B$3,2))</f>
        <v>0</v>
      </c>
      <c r="F14" s="29"/>
      <c r="G14" s="30">
        <f>H14+AC14+AT14</f>
        <v>262.83</v>
      </c>
      <c r="H14" s="17">
        <f>SUMIF(I$12:AB$12,"总值",I14:AB14)</f>
        <v>262.83</v>
      </c>
      <c r="I14" s="1626">
        <v>262.83</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202</v>
      </c>
      <c r="AY14" s="1349">
        <f>ROUND($AY$6*AZ14/$AZ$5,2)</f>
        <v>0</v>
      </c>
      <c r="AZ14" s="13">
        <f>BA14+BL14</f>
        <v>262.83</v>
      </c>
      <c r="BA14" s="13">
        <f>SUM(BB14:BK14)</f>
        <v>262.83</v>
      </c>
      <c r="BB14" s="13">
        <f>IF($D14="是",I14-J14,0)</f>
        <v>262.83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f>3000/629.74</f>
        <v>4.7638708038238002</v>
      </c>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4.7638708038238002</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6" sqref="H4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0</v>
      </c>
      <c r="E3" s="43">
        <f>'数据-基础表'!AZ5</f>
        <v>629.74</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f>ROUND($D$3*E6/$E$3,2)</f>
        <v>0</v>
      </c>
      <c r="E6" s="46">
        <f>E3-E5</f>
        <v>629.74</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629.74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629.74</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v>201</v>
      </c>
      <c r="D19" s="45">
        <f>ROUND($D$3*E19/$E$3,2)</f>
        <v>0</v>
      </c>
      <c r="E19" s="53">
        <f t="shared" ref="E19:E26" si="1">SUM(F19:G19)</f>
        <v>366.91</v>
      </c>
      <c r="F19" s="2795">
        <f>'数据-基础表'!I13</f>
        <v>366.91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366.91</v>
      </c>
    </row>
    <row r="20" spans="1:19">
      <c r="A20" s="1670"/>
      <c r="B20" s="47" t="s">
        <v>1153</v>
      </c>
      <c r="C20" s="3417">
        <v>202</v>
      </c>
      <c r="D20" s="45">
        <f t="shared" ref="D20:D26" si="6">ROUND($D$3*E20/$E$3,2)</f>
        <v>0</v>
      </c>
      <c r="E20" s="53">
        <f t="shared" si="1"/>
        <v>262.83</v>
      </c>
      <c r="F20" s="2795">
        <f>'数据-基础表'!I14</f>
        <v>262.83</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262.83</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629.74</v>
      </c>
      <c r="F27" s="1140">
        <f>IF(SUM(F19:F26)=E8,SUM(F19:F26),"地上面积有误")</f>
        <v>629.74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629.74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629.74</v>
      </c>
      <c r="F31" s="677">
        <f>F27+F30</f>
        <v>629.74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L6" activePane="bottomRight" state="frozen"/>
      <selection activeCell="C50" sqref="C50"/>
      <selection pane="topRight" activeCell="C50" sqref="C50"/>
      <selection pane="bottomLeft" activeCell="C50" sqref="C50"/>
      <selection pane="bottomRight" activeCell="P31" sqref="P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45427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201</v>
      </c>
      <c r="B6" s="1713" t="str">
        <f>IF(A6=0,"","经营性")</f>
        <v>经营性</v>
      </c>
      <c r="C6" s="1714" t="s">
        <v>673</v>
      </c>
      <c r="D6" s="858">
        <f>SUMIF(项目基本情况!C$12:I$12,C6,项目基本情况!C$14:I$14)</f>
        <v>40</v>
      </c>
      <c r="E6" s="857">
        <f>IF(B6="","",SUMIF(项目基本情况!C$12:I$12,C6,项目基本情况!C$13:I$13))</f>
        <v>54193</v>
      </c>
      <c r="F6" s="64">
        <f>SUMIF(项目基本情况!C$12:I$12,C6,项目基本情况!C$15:I$15)</f>
        <v>24.01</v>
      </c>
      <c r="G6" s="65">
        <f>IF(ISERROR(ROUND(POWER(1+H6,D6-F6)*(POWER(1+H6,F6)-1)/(POWER(1+H6,D6)-1),3)),0,ROUND(POWER(1+H6,D6-F6)*(POWER(1+H6,F6)-1)/(POWER(1+H6,D6)-1),3))</f>
        <v>0.82</v>
      </c>
      <c r="H6" s="732">
        <v>5.5E-2</v>
      </c>
      <c r="I6" s="732">
        <v>5.5E-2</v>
      </c>
      <c r="J6" s="66">
        <v>7.0000000000000007E-2</v>
      </c>
      <c r="K6" s="1030">
        <f>SUMIF('数据-汇总表'!C$19:C$33,A6,'数据-汇总表'!E$19:E$33)</f>
        <v>366.91</v>
      </c>
      <c r="L6" s="733">
        <v>4000</v>
      </c>
      <c r="M6" s="67">
        <f t="shared" ref="M6:M14" si="0">ROUND(K6*L6/10000,0)</f>
        <v>147</v>
      </c>
      <c r="N6" s="731">
        <f>ROUND(1-(2024-2010)/60,2)</f>
        <v>0.77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10</v>
      </c>
      <c r="V6" s="70">
        <v>0.02</v>
      </c>
      <c r="W6" s="70">
        <v>0.1</v>
      </c>
      <c r="X6" s="1040"/>
      <c r="Y6" s="71">
        <f>N6</f>
        <v>0.77</v>
      </c>
      <c r="Z6" s="72"/>
      <c r="AA6" s="66"/>
      <c r="AB6" s="66"/>
      <c r="AC6" s="1040"/>
      <c r="AD6" s="73"/>
      <c r="AE6" s="1041">
        <f ca="1">IF(AN6="",0,SUMIF(INDIRECT("'"&amp;AN6&amp;"'"&amp;"!E:E"),$AE$5,INDIRECT("'"&amp;AN6&amp;"'"&amp;"!F:F")))</f>
        <v>24.01</v>
      </c>
      <c r="AF6" s="1348"/>
      <c r="AG6" s="138">
        <f>IF(AF6="",0,AE6-AF6)</f>
        <v>0</v>
      </c>
      <c r="AH6" s="74"/>
      <c r="AI6" s="76">
        <v>365</v>
      </c>
      <c r="AJ6" s="77"/>
      <c r="AK6" s="78">
        <v>0.01</v>
      </c>
      <c r="AL6" s="79">
        <v>1E-3</v>
      </c>
      <c r="AM6" s="80">
        <v>0.01</v>
      </c>
      <c r="AN6" s="1715" t="s">
        <v>3393</v>
      </c>
      <c r="AO6" s="52">
        <f ca="1">SUMIF(INDIRECT("'"&amp;AN6&amp;"'"&amp;"!A:A"),"总价",INDIRECT("'"&amp;AN6&amp;"'"&amp;"!B:B"))</f>
        <v>1654.0504000000001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202</v>
      </c>
      <c r="B7" s="1713" t="str">
        <f t="shared" ref="B7:B13" si="1">IF(A7=0,"","经营性")</f>
        <v>经营性</v>
      </c>
      <c r="C7" s="1714" t="s">
        <v>673</v>
      </c>
      <c r="D7" s="858">
        <f>SUMIF(项目基本情况!C$12:I$12,C7,项目基本情况!C$14:I$14)</f>
        <v>40</v>
      </c>
      <c r="E7" s="857">
        <f>IF(B7="","",SUMIF(项目基本情况!C$12:I$12,C7,项目基本情况!C$13:I$13))</f>
        <v>54193</v>
      </c>
      <c r="F7" s="64">
        <f>SUMIF(项目基本情况!C$12:I$12,C7,项目基本情况!C$15:I$15)</f>
        <v>24.01</v>
      </c>
      <c r="G7" s="65">
        <f t="shared" ref="G7:G11" si="2">IF(ISERROR(ROUND(POWER(1+H7,D7-F7)*(POWER(1+H7,F7)-1)/(POWER(1+H7,D7)-1),3)),0,ROUND(POWER(1+H7,D7-F7)*(POWER(1+H7,F7)-1)/(POWER(1+H7,D7)-1),3))</f>
        <v>0</v>
      </c>
      <c r="H7" s="732"/>
      <c r="I7" s="732"/>
      <c r="J7" s="66"/>
      <c r="K7" s="1030">
        <f>SUMIF('数据-汇总表'!C$19:C$33,A7,'数据-汇总表'!E$19:E$33)</f>
        <v>262.83</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0.82</v>
      </c>
      <c r="H16" s="90">
        <f>ROUND(SUMPRODUCT(H6:H13,K6:K13)/SUMPRODUCT((H6:H13&gt;0)*(K6:K13)),3)</f>
        <v>5.5E-2</v>
      </c>
      <c r="I16" s="91"/>
      <c r="J16" s="91"/>
      <c r="K16" s="92">
        <f>SUM(K6:K15)</f>
        <v>629.74</v>
      </c>
      <c r="L16" s="93">
        <f>ROUND(M16*10000/SUM(K6:K14),0)</f>
        <v>2334</v>
      </c>
      <c r="M16" s="93">
        <f>SUM(M6:M14)</f>
        <v>147</v>
      </c>
      <c r="N16" s="94">
        <f>ROUND(SUMPRODUCT(M6:M14,N6:N14)/M16,3)</f>
        <v>0.77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3789" t="s">
        <v>3390</v>
      </c>
      <c r="W17" s="3789" t="s">
        <v>3391</v>
      </c>
      <c r="X17" s="3789" t="s">
        <v>3392</v>
      </c>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t="s">
        <v>3388</v>
      </c>
      <c r="V18" s="2671">
        <f>V20/X20</f>
        <v>16.232445256865699</v>
      </c>
      <c r="W18" s="2671">
        <v>366.91</v>
      </c>
      <c r="X18" s="2671">
        <v>1</v>
      </c>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t="s">
        <v>3389</v>
      </c>
      <c r="V19" s="2671">
        <f>V18*X19</f>
        <v>11.362711679805988</v>
      </c>
      <c r="W19" s="2671">
        <v>262.83</v>
      </c>
      <c r="X19" s="2671">
        <v>0.7</v>
      </c>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2671"/>
      <c r="N20" s="2671"/>
      <c r="O20" s="2671"/>
      <c r="P20" s="2671"/>
      <c r="Q20" s="2671"/>
      <c r="R20" s="2671"/>
      <c r="S20" s="2671"/>
      <c r="T20" s="2671"/>
      <c r="U20" s="2671"/>
      <c r="V20" s="2671">
        <v>14.2</v>
      </c>
      <c r="W20" s="2671">
        <f>W19+W18</f>
        <v>629.74</v>
      </c>
      <c r="X20" s="2671">
        <f>(W18+W19*X19)/W20</f>
        <v>0.87479118366309894</v>
      </c>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73382</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2285</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9" sqref="C1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629.74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45427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2682</v>
      </c>
      <c r="C5" s="2512">
        <f ca="1">IF(B5=D14,结果表!H102,ROUND(B5*10000/$B$1,0))</f>
        <v>42586</v>
      </c>
      <c r="D5" s="2512" t="e">
        <f ca="1">ROUND(B5*10000/$B$2,0)</f>
        <v>#DIV/0!</v>
      </c>
      <c r="E5" s="2686"/>
      <c r="F5" s="2687"/>
      <c r="G5" s="2687"/>
      <c r="H5" s="2688"/>
      <c r="I5" s="2688"/>
      <c r="J5" s="2688"/>
      <c r="K5" s="2688"/>
    </row>
    <row r="6" spans="1:11" ht="16.5">
      <c r="A6" s="2512" t="s">
        <v>656</v>
      </c>
      <c r="B6" s="2512">
        <f>SUM(G14:G23)</f>
        <v>0</v>
      </c>
      <c r="C6" s="2512">
        <f ca="1">IF(B6=G14,结果表!H108,ROUND(B6*10000/$B$1,0))</f>
        <v>42586</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典型户型修正!B22</f>
        <v>629.74</v>
      </c>
      <c r="C14" s="2518"/>
      <c r="D14" s="2518">
        <f ca="1">典型户型修正!S22</f>
        <v>2682</v>
      </c>
      <c r="E14" s="2518">
        <f ca="1">ROUND(D14*10000/B14,0)</f>
        <v>42589</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M38" sqref="M3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v>201</v>
      </c>
      <c r="D1" s="1747"/>
      <c r="E1" s="1747"/>
      <c r="F1" s="1749" t="s">
        <v>1263</v>
      </c>
      <c r="G1" s="1561"/>
      <c r="H1" s="1750" t="str">
        <f>IF(G1="现房","——","估价对象范围")</f>
        <v>估价对象范围</v>
      </c>
      <c r="I1" s="1751"/>
    </row>
    <row r="2" spans="1:12" ht="21.75" customHeight="1" thickBot="1">
      <c r="A2" s="3572" t="str">
        <f>项目基本情况!S2</f>
        <v>北京市房地产</v>
      </c>
      <c r="B2" s="3573"/>
      <c r="C2" s="3573"/>
      <c r="D2" s="3573"/>
      <c r="E2" s="3573"/>
      <c r="F2" s="3573"/>
      <c r="G2" s="3573"/>
      <c r="H2" s="3573"/>
      <c r="I2" s="3574"/>
    </row>
    <row r="3" spans="1:12" ht="12.75">
      <c r="A3" s="3576" t="s">
        <v>1264</v>
      </c>
      <c r="B3" s="3577"/>
      <c r="C3" s="3577"/>
      <c r="D3" s="3577"/>
      <c r="E3" s="3577"/>
      <c r="F3" s="3577"/>
      <c r="G3" s="3577"/>
      <c r="H3" s="3577"/>
      <c r="I3" s="3577"/>
    </row>
    <row r="4" spans="1:12" ht="14.25">
      <c r="A4" s="1754" t="s">
        <v>1265</v>
      </c>
      <c r="B4" s="1755" t="s">
        <v>1266</v>
      </c>
      <c r="C4" s="1756" t="s">
        <v>3409</v>
      </c>
      <c r="D4" s="1756" t="s">
        <v>3393</v>
      </c>
      <c r="E4" s="3578" t="s">
        <v>1267</v>
      </c>
      <c r="F4" s="3579"/>
      <c r="G4" s="3579"/>
      <c r="H4" s="3579"/>
      <c r="I4" s="358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2" t="s">
        <v>1268</v>
      </c>
      <c r="B5" s="3539">
        <v>25</v>
      </c>
      <c r="C5" s="3555"/>
      <c r="D5" s="3575"/>
      <c r="E5" s="131" t="s">
        <v>1269</v>
      </c>
      <c r="F5" s="1757"/>
      <c r="G5" s="1757"/>
      <c r="H5" s="1757"/>
      <c r="I5" s="1373"/>
    </row>
    <row r="6" spans="1:12" ht="12.75">
      <c r="A6" s="3552"/>
      <c r="B6" s="3539"/>
      <c r="C6" s="3556"/>
      <c r="D6" s="3575"/>
      <c r="E6" s="131" t="s">
        <v>1270</v>
      </c>
      <c r="F6" s="1757"/>
      <c r="G6" s="1757"/>
      <c r="H6" s="1757"/>
      <c r="I6" s="1373"/>
    </row>
    <row r="7" spans="1:12" ht="12.75">
      <c r="A7" s="3552"/>
      <c r="B7" s="3539"/>
      <c r="C7" s="3557"/>
      <c r="D7" s="3575"/>
      <c r="E7" s="131" t="s">
        <v>1271</v>
      </c>
      <c r="F7" s="1757"/>
      <c r="G7" s="1757"/>
      <c r="H7" s="1757"/>
      <c r="I7" s="1373"/>
    </row>
    <row r="8" spans="1:12" ht="12.75">
      <c r="A8" s="3552" t="s">
        <v>1272</v>
      </c>
      <c r="B8" s="3539">
        <v>15</v>
      </c>
      <c r="C8" s="3555"/>
      <c r="D8" s="3575"/>
      <c r="E8" s="131" t="s">
        <v>1273</v>
      </c>
      <c r="F8" s="1757"/>
      <c r="G8" s="1757"/>
      <c r="H8" s="1757"/>
      <c r="I8" s="1373"/>
    </row>
    <row r="9" spans="1:12" ht="12.75">
      <c r="A9" s="3552"/>
      <c r="B9" s="3539"/>
      <c r="C9" s="3557"/>
      <c r="D9" s="3575"/>
      <c r="E9" s="131" t="s">
        <v>1274</v>
      </c>
      <c r="F9" s="1757"/>
      <c r="G9" s="1757"/>
      <c r="H9" s="1757"/>
      <c r="I9" s="1373"/>
    </row>
    <row r="10" spans="1:12" ht="12.75">
      <c r="A10" s="3552" t="s">
        <v>1275</v>
      </c>
      <c r="B10" s="3539">
        <v>15</v>
      </c>
      <c r="C10" s="3555"/>
      <c r="D10" s="3575"/>
      <c r="E10" s="131" t="s">
        <v>1276</v>
      </c>
      <c r="F10" s="1757"/>
      <c r="G10" s="1757"/>
      <c r="H10" s="1757"/>
      <c r="I10" s="1373"/>
    </row>
    <row r="11" spans="1:12" ht="12.75">
      <c r="A11" s="3552"/>
      <c r="B11" s="3539"/>
      <c r="C11" s="3557"/>
      <c r="D11" s="3575"/>
      <c r="E11" s="131" t="s">
        <v>1277</v>
      </c>
      <c r="F11" s="1757"/>
      <c r="G11" s="1757"/>
      <c r="H11" s="1757"/>
      <c r="I11" s="1373"/>
    </row>
    <row r="12" spans="1:12" ht="12.75">
      <c r="A12" s="3552" t="s">
        <v>1278</v>
      </c>
      <c r="B12" s="3539">
        <v>15</v>
      </c>
      <c r="C12" s="3555"/>
      <c r="D12" s="3575"/>
      <c r="E12" s="131" t="s">
        <v>1279</v>
      </c>
      <c r="F12" s="1757"/>
      <c r="G12" s="1757"/>
      <c r="H12" s="1757"/>
      <c r="I12" s="1373"/>
    </row>
    <row r="13" spans="1:12" ht="12.75">
      <c r="A13" s="3552"/>
      <c r="B13" s="3539"/>
      <c r="C13" s="3557"/>
      <c r="D13" s="3575"/>
      <c r="E13" s="131" t="s">
        <v>1280</v>
      </c>
      <c r="F13" s="1757"/>
      <c r="G13" s="1757"/>
      <c r="H13" s="1757"/>
      <c r="I13" s="1373"/>
    </row>
    <row r="14" spans="1:12" ht="12.75">
      <c r="A14" s="3552" t="s">
        <v>1281</v>
      </c>
      <c r="B14" s="3539">
        <v>30</v>
      </c>
      <c r="C14" s="3555">
        <v>5</v>
      </c>
      <c r="D14" s="3575">
        <v>5</v>
      </c>
      <c r="E14" s="131" t="s">
        <v>1282</v>
      </c>
      <c r="F14" s="1757"/>
      <c r="G14" s="1757"/>
      <c r="H14" s="1757"/>
      <c r="I14" s="1373"/>
    </row>
    <row r="15" spans="1:12" ht="12.75">
      <c r="A15" s="3552"/>
      <c r="B15" s="3539"/>
      <c r="C15" s="3556"/>
      <c r="D15" s="3575"/>
      <c r="E15" s="131" t="s">
        <v>1283</v>
      </c>
      <c r="F15" s="1757"/>
      <c r="G15" s="1757"/>
      <c r="H15" s="1757"/>
      <c r="I15" s="1373"/>
    </row>
    <row r="16" spans="1:12" ht="12.75">
      <c r="A16" s="3552"/>
      <c r="B16" s="3539"/>
      <c r="C16" s="3557"/>
      <c r="D16" s="3575"/>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2" t="s">
        <v>2130</v>
      </c>
      <c r="F18" s="3563"/>
      <c r="G18" s="3563"/>
      <c r="H18" s="3563"/>
      <c r="I18" s="3563"/>
      <c r="K18" s="302" t="s">
        <v>1289</v>
      </c>
      <c r="L18" s="302">
        <f>IF(C1="",'数据-汇总表'!E3,SUMIF(项目类型,C1,'数据-汇总表'!E17:E26)+SUMIF(项目类型,C1,'数据-汇总表'!I17:I26))</f>
        <v>366.91</v>
      </c>
      <c r="M18" s="302">
        <f>IF(C1="",'数据-汇总表'!E3,SUMIF(项目类型,C1,'数据-汇总表'!E17:E26))</f>
        <v>366.91</v>
      </c>
    </row>
    <row r="19" spans="1:36" ht="15">
      <c r="A19" s="1761" t="s">
        <v>1290</v>
      </c>
      <c r="B19" s="1762" t="s">
        <v>1291</v>
      </c>
      <c r="C19" s="134">
        <f ca="1">SUMIF(INDIRECT("'"&amp;C4&amp;"'"&amp;"!A:A"),结果表!B19,INDIRECT("'"&amp;C4&amp;"'"&amp;"!B:B"))</f>
        <v>1470.9264000000001</v>
      </c>
      <c r="D19" s="135">
        <f ca="1">SUMIF(INDIRECT("'"&amp;D4&amp;"'"&amp;"!A:A"),结果表!B19,INDIRECT("'"&amp;D4&amp;"'"&amp;"!B:B"))</f>
        <v>1654.0504000000001</v>
      </c>
      <c r="E19" s="1761" t="s">
        <v>1292</v>
      </c>
      <c r="F19" s="1762" t="s">
        <v>1291</v>
      </c>
      <c r="G19" s="136">
        <f ca="1">ROUND(C19*$C$18+D19*$D$18,0)</f>
        <v>1562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40090</v>
      </c>
      <c r="D20" s="138">
        <f ca="1">SUMIF(INDIRECT("'"&amp;D4&amp;"'"&amp;"!A:A"),结果表!B20,INDIRECT("'"&amp;D4&amp;"'"&amp;"!B:B"))</f>
        <v>45081</v>
      </c>
      <c r="E20" s="1764"/>
      <c r="F20" s="1026" t="s">
        <v>1295</v>
      </c>
      <c r="G20" s="139">
        <f ca="1">ROUND(C20*$C$18+D20*$D$18,0)</f>
        <v>42586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0.1244956919666409</v>
      </c>
      <c r="E22" s="129"/>
      <c r="F22" s="129"/>
      <c r="G22" s="129"/>
      <c r="H22" s="129"/>
      <c r="I22" s="129"/>
    </row>
    <row r="23" spans="1:36" ht="13.5" thickBot="1">
      <c r="A23" s="1747"/>
      <c r="B23" s="1747"/>
      <c r="C23" s="1747"/>
      <c r="D23" s="1747"/>
      <c r="E23" s="129"/>
      <c r="F23" s="129"/>
      <c r="G23" s="129"/>
      <c r="H23" s="129"/>
      <c r="I23" s="129"/>
    </row>
    <row r="24" spans="1:36" ht="14.25">
      <c r="A24" s="3546" t="s">
        <v>1299</v>
      </c>
      <c r="B24" s="1762" t="s">
        <v>1291</v>
      </c>
      <c r="C24" s="136">
        <f>IF(B30=0,0,D30)</f>
        <v>0</v>
      </c>
      <c r="D24" s="1769"/>
      <c r="E24" s="129"/>
      <c r="F24" s="129"/>
      <c r="G24" s="129"/>
      <c r="H24" s="129"/>
      <c r="I24" s="129"/>
    </row>
    <row r="25" spans="1:36" ht="14.25">
      <c r="A25" s="35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42586</v>
      </c>
      <c r="D32" s="1775" t="s">
        <v>3420</v>
      </c>
      <c r="E32" s="129"/>
      <c r="F32" s="129"/>
      <c r="G32" s="129"/>
      <c r="H32" s="129"/>
      <c r="I32" s="129"/>
    </row>
    <row r="33" spans="1:15" ht="15">
      <c r="A33" s="786" t="s">
        <v>1306</v>
      </c>
      <c r="B33" s="1776"/>
      <c r="C33" s="1777" t="s">
        <v>3421</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66" t="s">
        <v>1312</v>
      </c>
      <c r="B36" s="1787" t="s">
        <v>1313</v>
      </c>
      <c r="C36" s="145"/>
      <c r="D36" s="1788"/>
      <c r="E36" s="1789"/>
      <c r="F36" s="1790"/>
      <c r="G36" s="129"/>
      <c r="H36" s="129"/>
      <c r="I36" s="129"/>
    </row>
    <row r="37" spans="1:15" ht="15.75" thickBot="1">
      <c r="A37" s="3567"/>
      <c r="B37" s="1674" t="s">
        <v>1314</v>
      </c>
      <c r="C37" s="147"/>
      <c r="D37" s="1139"/>
      <c r="E37" s="1139"/>
      <c r="F37" s="1790"/>
      <c r="G37" s="129"/>
      <c r="H37" s="129"/>
      <c r="I37" s="129"/>
    </row>
    <row r="38" spans="1:15" ht="15.75" thickBot="1">
      <c r="A38" s="356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3" t="s">
        <v>1326</v>
      </c>
      <c r="B45" s="3544"/>
      <c r="C45" s="3545"/>
      <c r="D45" s="155">
        <f ca="1">ROUND(H101*F45,0)</f>
        <v>1563</v>
      </c>
      <c r="E45" s="156" t="s">
        <v>1327</v>
      </c>
      <c r="F45" s="157">
        <v>1</v>
      </c>
      <c r="G45" s="158" t="s">
        <v>1328</v>
      </c>
      <c r="H45" s="129"/>
      <c r="I45" s="129"/>
      <c r="J45" s="3621" t="s">
        <v>1329</v>
      </c>
      <c r="K45" s="3621"/>
      <c r="L45" s="3621"/>
      <c r="M45" s="3621"/>
      <c r="N45" s="3621"/>
      <c r="O45" s="3621"/>
    </row>
    <row r="46" spans="1:15" ht="14.25" customHeight="1">
      <c r="A46" s="3540" t="s">
        <v>1330</v>
      </c>
      <c r="B46" s="3541"/>
      <c r="C46" s="3541"/>
      <c r="D46" s="3541"/>
      <c r="E46" s="3541"/>
      <c r="F46" s="3541"/>
      <c r="G46" s="3542"/>
      <c r="H46" s="1806"/>
      <c r="I46" s="159"/>
      <c r="J46" s="2523">
        <v>1</v>
      </c>
      <c r="K46" s="3602" t="s">
        <v>1331</v>
      </c>
      <c r="L46" s="3602"/>
      <c r="M46" s="3622"/>
      <c r="N46" s="3622"/>
      <c r="O46" s="3622"/>
    </row>
    <row r="47" spans="1:15" ht="12" customHeight="1">
      <c r="A47" s="160" t="s">
        <v>1332</v>
      </c>
      <c r="B47" s="161"/>
      <c r="C47" s="162"/>
      <c r="D47" s="1087" t="s">
        <v>1333</v>
      </c>
      <c r="E47" s="302" t="s">
        <v>1334</v>
      </c>
      <c r="F47" s="163" t="s">
        <v>1335</v>
      </c>
      <c r="G47" s="2546" t="s">
        <v>1336</v>
      </c>
      <c r="H47" s="2547"/>
      <c r="I47" s="159"/>
      <c r="J47" s="2523">
        <v>2</v>
      </c>
      <c r="K47" s="3602" t="s">
        <v>1337</v>
      </c>
      <c r="L47" s="3602"/>
      <c r="M47" s="3623">
        <f>'数据-取费表'!B2</f>
        <v>45427</v>
      </c>
      <c r="N47" s="3623"/>
      <c r="O47" s="3623"/>
    </row>
    <row r="48" spans="1:15" ht="25.5">
      <c r="A48" s="3571" t="s">
        <v>1338</v>
      </c>
      <c r="B48" s="3554"/>
      <c r="C48" s="355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2" t="s">
        <v>1340</v>
      </c>
      <c r="L48" s="3602"/>
      <c r="M48" s="3624">
        <f ca="1">H101</f>
        <v>1563</v>
      </c>
      <c r="N48" s="3624"/>
      <c r="O48" s="3624"/>
    </row>
    <row r="49" spans="1:35" ht="25.5" customHeight="1">
      <c r="A49" s="2333" t="s">
        <v>1341</v>
      </c>
      <c r="B49" s="3538" t="s">
        <v>1342</v>
      </c>
      <c r="C49" s="3538"/>
      <c r="D49" s="1590">
        <v>0</v>
      </c>
      <c r="E49" s="324" t="s">
        <v>1343</v>
      </c>
      <c r="F49" s="2424" t="s">
        <v>28</v>
      </c>
      <c r="G49" s="3608"/>
      <c r="H49" s="2310" t="s">
        <v>2133</v>
      </c>
      <c r="I49" s="2311"/>
      <c r="J49" s="2523">
        <v>4</v>
      </c>
      <c r="K49" s="3602" t="str">
        <f>IF(项目基本情况!E8="房地产抵押价值","房地产抵押价值","抵押担保权已注销时的房地产抵押价值")</f>
        <v>抵押担保权已注销时的房地产抵押价值</v>
      </c>
      <c r="L49" s="3602"/>
      <c r="M49" s="3624" t="str">
        <f>IF(项目基本情况!E8="房地产抵押价值",H107,H109)</f>
        <v>——</v>
      </c>
      <c r="N49" s="3624"/>
      <c r="O49" s="3624"/>
    </row>
    <row r="50" spans="1:35" ht="25.5" customHeight="1">
      <c r="A50" s="2551"/>
      <c r="B50" s="3538" t="s">
        <v>1344</v>
      </c>
      <c r="C50" s="3538"/>
      <c r="D50" s="2552"/>
      <c r="E50" s="332"/>
      <c r="F50" s="2424"/>
      <c r="G50" s="3609"/>
      <c r="H50" s="2312" t="s">
        <v>2134</v>
      </c>
      <c r="I50" s="2311"/>
      <c r="J50" s="3621" t="s">
        <v>1345</v>
      </c>
      <c r="K50" s="3621"/>
      <c r="L50" s="3621"/>
      <c r="M50" s="3621"/>
      <c r="N50" s="3621"/>
      <c r="O50" s="3621"/>
    </row>
    <row r="51" spans="1:35" ht="20.45" customHeight="1">
      <c r="A51" s="2553"/>
      <c r="B51" s="3538" t="s">
        <v>1346</v>
      </c>
      <c r="C51" s="3538"/>
      <c r="D51" s="1087"/>
      <c r="E51" s="327"/>
      <c r="F51" s="2424"/>
      <c r="G51" s="3610"/>
      <c r="H51" s="2312" t="s">
        <v>2135</v>
      </c>
      <c r="I51" s="2311"/>
      <c r="J51" s="2524" t="s">
        <v>1347</v>
      </c>
      <c r="K51" s="3602" t="s">
        <v>1348</v>
      </c>
      <c r="L51" s="3602"/>
      <c r="M51" s="2524" t="s">
        <v>1349</v>
      </c>
      <c r="N51" s="2524" t="s">
        <v>1350</v>
      </c>
      <c r="O51" s="2524" t="s">
        <v>1351</v>
      </c>
    </row>
    <row r="52" spans="1:35" ht="24" customHeight="1">
      <c r="A52" s="2335" t="s">
        <v>1352</v>
      </c>
      <c r="B52" s="3538" t="s">
        <v>1353</v>
      </c>
      <c r="C52" s="3538"/>
      <c r="D52" s="1087">
        <f ca="1">ROUND(D45*'数据-取费表'!B41/(1+'数据-取费表'!C42),0)</f>
        <v>83</v>
      </c>
      <c r="E52" s="2334" t="s">
        <v>1354</v>
      </c>
      <c r="F52" s="2554">
        <f>'数据-取费表'!B41</f>
        <v>5.6000000000000001E-2</v>
      </c>
      <c r="G52" s="2555"/>
      <c r="H52" s="2544"/>
      <c r="I52" s="1807"/>
      <c r="J52" s="2523">
        <v>1</v>
      </c>
      <c r="K52" s="3603" t="s">
        <v>1355</v>
      </c>
      <c r="L52" s="3603"/>
      <c r="M52" s="2525" t="b">
        <f>D48</f>
        <v>0</v>
      </c>
      <c r="N52" s="2523" t="str">
        <f>E48</f>
        <v>销售额×税（费）率</v>
      </c>
      <c r="O52" s="2526">
        <f>F48</f>
        <v>5.6000000000000001E-2</v>
      </c>
    </row>
    <row r="53" spans="1:35" ht="12" customHeight="1">
      <c r="A53" s="2335" t="s">
        <v>1356</v>
      </c>
      <c r="B53" s="3564" t="s">
        <v>2290</v>
      </c>
      <c r="C53" s="3565"/>
      <c r="D53" s="1087">
        <f ca="1">ROUND(D45*'数据-取费表'!B41/(1+'数据-取费表'!C42),0)</f>
        <v>83</v>
      </c>
      <c r="E53" s="2334" t="s">
        <v>1354</v>
      </c>
      <c r="F53" s="2554">
        <f>'数据-取费表'!B41</f>
        <v>5.6000000000000001E-2</v>
      </c>
      <c r="G53" s="2555"/>
      <c r="H53" s="2544"/>
      <c r="I53" s="1807"/>
      <c r="J53" s="2523">
        <v>2</v>
      </c>
      <c r="K53" s="3603" t="s">
        <v>1357</v>
      </c>
      <c r="L53" s="3603"/>
      <c r="M53" s="2525">
        <f t="shared" ref="M53:O54" ca="1" si="0">D55</f>
        <v>1</v>
      </c>
      <c r="N53" s="2523" t="str">
        <f t="shared" si="0"/>
        <v>销售额×税（费）率</v>
      </c>
      <c r="O53" s="2526" t="str">
        <f t="shared" si="0"/>
        <v>免征</v>
      </c>
    </row>
    <row r="54" spans="1:35" ht="12" customHeight="1">
      <c r="A54" s="2335" t="s">
        <v>1358</v>
      </c>
      <c r="B54" s="3564" t="s">
        <v>2291</v>
      </c>
      <c r="C54" s="3565"/>
      <c r="D54" s="1087">
        <f ca="1">C68</f>
        <v>83</v>
      </c>
      <c r="E54" s="327" t="s">
        <v>1359</v>
      </c>
      <c r="F54" s="2554">
        <f>'数据-取费表'!B41</f>
        <v>5.6000000000000001E-2</v>
      </c>
      <c r="G54" s="2555"/>
      <c r="H54" s="2556"/>
      <c r="I54" s="1807"/>
      <c r="J54" s="2523">
        <v>3</v>
      </c>
      <c r="K54" s="3603" t="s">
        <v>1360</v>
      </c>
      <c r="L54" s="3603"/>
      <c r="M54" s="2525">
        <f t="shared" ca="1" si="0"/>
        <v>885</v>
      </c>
      <c r="N54" s="2523" t="str">
        <f t="shared" si="0"/>
        <v>增值额×税（费）率</v>
      </c>
      <c r="O54" s="2527" t="str">
        <f t="shared" si="0"/>
        <v>免征</v>
      </c>
    </row>
    <row r="55" spans="1:35" ht="24" customHeight="1">
      <c r="A55" s="3553" t="s">
        <v>1361</v>
      </c>
      <c r="B55" s="3554"/>
      <c r="C55" s="3554"/>
      <c r="D55" s="2324">
        <f ca="1">IF(H55="个人住宅",0,ROUND(D45*I55,0))</f>
        <v>1</v>
      </c>
      <c r="E55" s="2334" t="s">
        <v>1362</v>
      </c>
      <c r="F55" s="2554" t="str">
        <f>IF(H55="正常",I55,"免征")</f>
        <v>免征</v>
      </c>
      <c r="G55" s="2555"/>
      <c r="H55" s="2550"/>
      <c r="I55" s="165">
        <f>'数据-取费表'!B49</f>
        <v>5.0000000000000001E-4</v>
      </c>
      <c r="J55" s="2523">
        <f>IF(H59="非个人房产","",4)</f>
        <v>4</v>
      </c>
      <c r="K55" s="3603" t="str">
        <f>IF(H59="非个人房产","——","个人所得税")</f>
        <v>个人所得税</v>
      </c>
      <c r="L55" s="3603"/>
      <c r="M55" s="2528">
        <f ca="1">D59</f>
        <v>15</v>
      </c>
      <c r="N55" s="2040" t="str">
        <f>E59</f>
        <v>差额计税</v>
      </c>
      <c r="O55" s="2529">
        <f>F59</f>
        <v>0.01</v>
      </c>
    </row>
    <row r="56" spans="1:35" ht="24.75">
      <c r="A56" s="3553" t="s">
        <v>1363</v>
      </c>
      <c r="B56" s="3554"/>
      <c r="C56" s="3554"/>
      <c r="D56" s="2324">
        <f ca="1">IF(H56="个人住宅",D57,D58)</f>
        <v>885</v>
      </c>
      <c r="E56" s="2334" t="s">
        <v>1364</v>
      </c>
      <c r="F56" s="2554" t="str">
        <f>IF(H56="正常",F58,"免征")</f>
        <v>免征</v>
      </c>
      <c r="G56" s="2557" t="s">
        <v>1365</v>
      </c>
      <c r="H56" s="2558"/>
      <c r="I56" s="1808"/>
      <c r="J56" s="2523" t="str">
        <f>IF(项目基本情况!K6="上海银行",IF(J55="",4,J55+1),"")</f>
        <v/>
      </c>
      <c r="K56" s="3626" t="str">
        <f>IF(项目基本情况!K6="上海银行","其他处置费用","")</f>
        <v/>
      </c>
      <c r="L56" s="3627"/>
      <c r="M56" s="2525" t="str">
        <f>IF(项目基本情况!K6="上海银行",M69,"")</f>
        <v/>
      </c>
      <c r="N56" s="3626" t="str">
        <f>IF(项目基本情况!K6="上海银行","包含处置中涉及的律师、诉讼、拍卖、评估等费用","")</f>
        <v/>
      </c>
      <c r="O56" s="3629"/>
    </row>
    <row r="57" spans="1:35" ht="12.75">
      <c r="A57" s="2335" t="s">
        <v>1341</v>
      </c>
      <c r="B57" s="3564" t="s">
        <v>1366</v>
      </c>
      <c r="C57" s="3565"/>
      <c r="D57" s="1590">
        <v>0</v>
      </c>
      <c r="E57" s="324" t="s">
        <v>1343</v>
      </c>
      <c r="F57" s="302"/>
      <c r="G57" s="2555"/>
      <c r="H57" s="2559"/>
      <c r="I57" s="1808"/>
      <c r="J57" s="3603">
        <f>IF(AND(J55="",J56=""),4,IF(项目基本情况!K6="上海银行",结果表!J56+1,结果表!J55+1))</f>
        <v>5</v>
      </c>
      <c r="K57" s="3603" t="s">
        <v>1367</v>
      </c>
      <c r="L57" s="2530" t="s">
        <v>1368</v>
      </c>
      <c r="M57" s="2531"/>
      <c r="N57" s="2532">
        <f ca="1">SUMIF(M52:M56,"&lt;9e307")</f>
        <v>901</v>
      </c>
      <c r="O57" s="2533"/>
      <c r="P57" s="2690" t="e">
        <f ca="1">N57/M49</f>
        <v>#VALUE!</v>
      </c>
    </row>
    <row r="58" spans="1:35" ht="24.75">
      <c r="A58" s="2335" t="s">
        <v>1352</v>
      </c>
      <c r="B58" s="3564" t="s">
        <v>1369</v>
      </c>
      <c r="C58" s="3538"/>
      <c r="D58" s="2324">
        <f ca="1">IF(H58="转让取得",C81,C97)</f>
        <v>885</v>
      </c>
      <c r="E58" s="2334" t="s">
        <v>1364</v>
      </c>
      <c r="F58" s="302" t="s">
        <v>28</v>
      </c>
      <c r="G58" s="2555"/>
      <c r="H58" s="2558"/>
      <c r="I58" s="1808"/>
      <c r="J58" s="3603"/>
      <c r="K58" s="3603"/>
      <c r="L58" s="2530" t="s">
        <v>1370</v>
      </c>
      <c r="M58" s="2534"/>
      <c r="N58" s="2535" t="str">
        <f ca="1">NUMBERSTRING(INT(N57*10000),2)&amp;"元整"</f>
        <v>玖佰零壹万元整</v>
      </c>
      <c r="O58" s="2536"/>
    </row>
    <row r="59" spans="1:35" ht="24.75" thickBot="1">
      <c r="A59" s="3606" t="s">
        <v>1371</v>
      </c>
      <c r="B59" s="3607"/>
      <c r="C59" s="3607"/>
      <c r="D59" s="2560">
        <f ca="1">IF(H59="非个人房产","——",IF(H59="个人住宅（满五唯一有凭证）",0,IF(H59="个人其他（无凭证）",ROUND(D45*F59,0),ROUND(C67*F59,0))))</f>
        <v>15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04">
        <f>J57+1</f>
        <v>6</v>
      </c>
      <c r="K59" s="3603" t="s">
        <v>1372</v>
      </c>
      <c r="L59" s="2523" t="s">
        <v>1368</v>
      </c>
      <c r="M59" s="2537"/>
      <c r="N59" s="2538" t="e">
        <f ca="1">M49-N57</f>
        <v>#VALUE!</v>
      </c>
      <c r="O59" s="2539"/>
    </row>
    <row r="60" spans="1:35" ht="12" customHeight="1">
      <c r="A60" s="1809"/>
      <c r="B60" s="1747"/>
      <c r="C60" s="1747"/>
      <c r="D60" s="1747"/>
      <c r="E60" s="1578"/>
      <c r="F60" s="1808"/>
      <c r="G60" s="1808"/>
      <c r="H60" s="1810"/>
      <c r="I60" s="129"/>
      <c r="J60" s="3605"/>
      <c r="K60" s="3603"/>
      <c r="L60" s="2530" t="s">
        <v>1370</v>
      </c>
      <c r="M60" s="2534"/>
      <c r="N60" s="2535" t="e">
        <f ca="1">NUMBERSTRING(INT(N59*10000),2)&amp;"元整"</f>
        <v>#VALUE!</v>
      </c>
      <c r="O60" s="2536"/>
    </row>
    <row r="61" spans="1:35" ht="13.5" thickBot="1">
      <c r="A61" s="3551" t="s">
        <v>1373</v>
      </c>
      <c r="B61" s="3551"/>
      <c r="C61" s="3551"/>
      <c r="D61" s="3551"/>
      <c r="E61" s="3551"/>
      <c r="F61" s="1808"/>
      <c r="G61" s="1808"/>
      <c r="H61" s="1810"/>
      <c r="I61" s="129"/>
      <c r="J61" s="2523">
        <f>J59+1</f>
        <v>7</v>
      </c>
      <c r="K61" s="3603" t="s">
        <v>1374</v>
      </c>
      <c r="L61" s="3603"/>
      <c r="M61" s="2540"/>
      <c r="N61" s="2541" t="e">
        <f ca="1">ROUND(N59*10000/'数据-汇总表'!E3,0)</f>
        <v>#VALUE!</v>
      </c>
      <c r="O61" s="2542"/>
    </row>
    <row r="62" spans="1:35" ht="12.75">
      <c r="A62" s="3569" t="s">
        <v>1375</v>
      </c>
      <c r="B62" s="3570"/>
      <c r="C62" s="2021"/>
      <c r="D62" s="2021" t="s">
        <v>1376</v>
      </c>
      <c r="E62" s="166" t="s">
        <v>1377</v>
      </c>
      <c r="F62" s="1808"/>
      <c r="G62" s="1808"/>
      <c r="H62" s="1810"/>
      <c r="I62" s="129"/>
    </row>
    <row r="63" spans="1:35" ht="12.75">
      <c r="A63" s="173" t="s">
        <v>330</v>
      </c>
      <c r="B63" s="167" t="s">
        <v>1378</v>
      </c>
      <c r="C63" s="2564">
        <f ca="1">ROUND((C64+C65)/(1+'数据-取费表'!C42),0)</f>
        <v>1489</v>
      </c>
      <c r="D63" s="167"/>
      <c r="E63" s="168"/>
      <c r="F63" s="1808"/>
      <c r="G63" s="1808"/>
      <c r="H63" s="1810"/>
      <c r="I63" s="129"/>
      <c r="J63" s="362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1563</v>
      </c>
      <c r="D64" s="170" t="s">
        <v>26</v>
      </c>
      <c r="E64" s="172"/>
      <c r="F64" s="1808"/>
      <c r="G64" s="1808"/>
      <c r="H64" s="1810"/>
      <c r="I64" s="129"/>
      <c r="J64" s="362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8"/>
      <c r="K66" s="1332" t="s">
        <v>1387</v>
      </c>
      <c r="L66" s="1332" t="e">
        <f>M49*0.5%</f>
        <v>#VALUE!</v>
      </c>
      <c r="M66" s="302" t="e">
        <f>IF(L66&gt;0.5,0.5,ROUND(L66,0))</f>
        <v>#VALUE!</v>
      </c>
      <c r="N66" s="2544" t="s">
        <v>1388</v>
      </c>
      <c r="Z66" s="1752"/>
      <c r="AI66" s="1753"/>
    </row>
    <row r="67" spans="1:35" ht="14.25" customHeight="1">
      <c r="A67" s="173" t="s">
        <v>328</v>
      </c>
      <c r="B67" s="174" t="s">
        <v>1389</v>
      </c>
      <c r="C67" s="2568">
        <f ca="1">C63-C66</f>
        <v>1489</v>
      </c>
      <c r="D67" s="170" t="s">
        <v>26</v>
      </c>
      <c r="E67" s="172"/>
      <c r="F67" s="1808"/>
      <c r="G67" s="1808"/>
      <c r="H67" s="1810"/>
      <c r="I67" s="129"/>
      <c r="J67" s="362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83</v>
      </c>
      <c r="D68" s="2570">
        <f>'数据-取费表'!B41</f>
        <v>5.6000000000000001E-2</v>
      </c>
      <c r="E68" s="178"/>
      <c r="F68" s="1808"/>
      <c r="G68" s="1808"/>
      <c r="H68" s="1810"/>
      <c r="I68" s="129"/>
      <c r="J68" s="362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0" t="s">
        <v>1394</v>
      </c>
      <c r="B70" s="3591"/>
      <c r="C70" s="3591"/>
      <c r="D70" s="3591"/>
      <c r="E70" s="3591"/>
      <c r="F70" s="3591"/>
      <c r="G70" s="3591"/>
      <c r="H70" s="359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9" t="s">
        <v>1375</v>
      </c>
      <c r="B71" s="357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1489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4" t="s">
        <v>1402</v>
      </c>
      <c r="F76" s="3538"/>
      <c r="G76" s="3538"/>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9</v>
      </c>
      <c r="D78" s="2577">
        <f>'数据-取费表'!B43</f>
        <v>6.000000000000001E-3</v>
      </c>
      <c r="E78" s="3548" t="s">
        <v>1406</v>
      </c>
      <c r="F78" s="3549"/>
      <c r="G78" s="3549"/>
      <c r="H78" s="35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1480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164.44444444444446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885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0" t="s">
        <v>1410</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9" t="s">
        <v>1375</v>
      </c>
      <c r="B84" s="357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1489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0" t="s">
        <v>2128</v>
      </c>
      <c r="H90" s="3631"/>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8" t="s">
        <v>1419</v>
      </c>
      <c r="F91" s="3549"/>
      <c r="G91" s="35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8" t="s">
        <v>1422</v>
      </c>
      <c r="F92" s="3549"/>
      <c r="G92" s="3549"/>
      <c r="H92" s="3558"/>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9</v>
      </c>
      <c r="D93" s="2577">
        <f>'数据-取费表'!B43</f>
        <v>6.000000000000001E-3</v>
      </c>
      <c r="E93" s="3548" t="s">
        <v>1406</v>
      </c>
      <c r="F93" s="3549"/>
      <c r="G93" s="3549"/>
      <c r="H93" s="35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59" t="s">
        <v>1426</v>
      </c>
      <c r="F94" s="3560"/>
      <c r="G94" s="3560"/>
      <c r="H94" s="35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1480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164.44444444444446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885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50"/>
      <c r="E100" s="3533" t="s">
        <v>1429</v>
      </c>
      <c r="F100" s="3533"/>
      <c r="G100" s="3533"/>
      <c r="H100" s="3550"/>
      <c r="I100" s="129"/>
    </row>
    <row r="101" spans="1:35" ht="18.75" customHeight="1">
      <c r="A101" s="3611" t="s">
        <v>1430</v>
      </c>
      <c r="B101" s="3612"/>
      <c r="C101" s="2585" t="str">
        <f>C4</f>
        <v>成本法 (元)</v>
      </c>
      <c r="D101" s="2586" t="str">
        <f>D4</f>
        <v>收益法 (元)</v>
      </c>
      <c r="E101" s="3625" t="s">
        <v>1431</v>
      </c>
      <c r="F101" s="3582"/>
      <c r="G101" s="1827" t="s">
        <v>1432</v>
      </c>
      <c r="H101" s="2595">
        <f ca="1">H118</f>
        <v>1563</v>
      </c>
      <c r="I101" s="129"/>
    </row>
    <row r="102" spans="1:35" ht="18.75" customHeight="1">
      <c r="A102" s="3584" t="s">
        <v>1433</v>
      </c>
      <c r="B102" s="2584" t="s">
        <v>1432</v>
      </c>
      <c r="C102" s="2585">
        <f ca="1">IF(D32="楼面单价",ROUND(C19,0),C19)</f>
        <v>1471</v>
      </c>
      <c r="D102" s="2586">
        <f ca="1">IF(D32="楼面单价",ROUND(D19,0),D19)</f>
        <v>1654</v>
      </c>
      <c r="E102" s="3625"/>
      <c r="F102" s="3582"/>
      <c r="G102" s="1827" t="s">
        <v>1434</v>
      </c>
      <c r="H102" s="2555">
        <f ca="1">I118</f>
        <v>42586</v>
      </c>
      <c r="I102" s="129"/>
    </row>
    <row r="103" spans="1:35" ht="42.75" customHeight="1">
      <c r="A103" s="3584"/>
      <c r="B103" s="2584" t="s">
        <v>1434</v>
      </c>
      <c r="C103" s="2587">
        <f ca="1">C20</f>
        <v>40090</v>
      </c>
      <c r="D103" s="2588">
        <f ca="1">D20</f>
        <v>45081</v>
      </c>
      <c r="E103" s="3619" t="s">
        <v>1435</v>
      </c>
      <c r="F103" s="3620"/>
      <c r="G103" s="1828" t="s">
        <v>1436</v>
      </c>
      <c r="H103" s="2595">
        <f>IF(D36="正常操作",H104+H105+H106,H105+H106)</f>
        <v>0</v>
      </c>
      <c r="I103" s="129"/>
    </row>
    <row r="104" spans="1:35" ht="18.75" customHeight="1">
      <c r="A104" s="3584" t="s">
        <v>1437</v>
      </c>
      <c r="B104" s="2589" t="s">
        <v>1432</v>
      </c>
      <c r="C104" s="2590">
        <f ca="1">H118</f>
        <v>1563</v>
      </c>
      <c r="D104" s="2591"/>
      <c r="E104" s="1674" t="s">
        <v>1438</v>
      </c>
      <c r="F104" s="1666"/>
      <c r="G104" s="1828" t="s">
        <v>1436</v>
      </c>
      <c r="H104" s="2596">
        <f>IF(D36="同一抵押权人同一抵押物续贷",C36&amp;"（续贷，未扣减，详见特别提示）",C36)</f>
        <v>0</v>
      </c>
      <c r="I104" s="129"/>
    </row>
    <row r="105" spans="1:35" ht="18.75" customHeight="1" thickBot="1">
      <c r="A105" s="3585"/>
      <c r="B105" s="2592" t="s">
        <v>1434</v>
      </c>
      <c r="C105" s="2593">
        <f ca="1">I118</f>
        <v>42586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82"/>
      <c r="G107" s="1827" t="s">
        <v>1432</v>
      </c>
      <c r="H107" s="2595">
        <f ca="1">IF(E107="——","——",H101-H103)</f>
        <v>1563</v>
      </c>
      <c r="I107" s="129"/>
    </row>
    <row r="108" spans="1:35" ht="18.75" customHeight="1">
      <c r="A108" s="129"/>
      <c r="B108" s="129"/>
      <c r="C108" s="129"/>
      <c r="D108" s="129"/>
      <c r="E108" s="3581"/>
      <c r="F108" s="3582"/>
      <c r="G108" s="1827" t="s">
        <v>1434</v>
      </c>
      <c r="H108" s="2555">
        <f ca="1">IF(H107=H101,H102,ROUND(H107*10000/'数据-汇总表'!E3,0))</f>
        <v>42586</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82"/>
      <c r="G109" s="1827" t="s">
        <v>1432</v>
      </c>
      <c r="H109" s="2598" t="str">
        <f>IF(E109="——","——",H101-H105-H106)</f>
        <v>——</v>
      </c>
      <c r="I109" s="129"/>
    </row>
    <row r="110" spans="1:35" ht="18.75" customHeight="1">
      <c r="A110" s="129"/>
      <c r="B110" s="129"/>
      <c r="C110" s="129"/>
      <c r="D110" s="129"/>
      <c r="E110" s="3581"/>
      <c r="F110" s="3582"/>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83"/>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586" t="s">
        <v>1440</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2" t="s">
        <v>1443</v>
      </c>
      <c r="B116" s="3587" t="s">
        <v>1444</v>
      </c>
      <c r="C116" s="3587" t="s">
        <v>1445</v>
      </c>
      <c r="D116" s="3600" t="s">
        <v>1446</v>
      </c>
      <c r="E116" s="3601"/>
      <c r="F116" s="3595" t="s">
        <v>1447</v>
      </c>
      <c r="G116" s="3595"/>
      <c r="H116" s="3552" t="s">
        <v>1448</v>
      </c>
      <c r="I116" s="3552"/>
    </row>
    <row r="117" spans="1:27" ht="18.75" customHeight="1">
      <c r="A117" s="3552"/>
      <c r="B117" s="3588"/>
      <c r="C117" s="358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366.91</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1563</v>
      </c>
      <c r="I118" s="2329">
        <f ca="1">ROUND(IF(D32="楼面单价",C32,H118*10000/B118),0)</f>
        <v>42586</v>
      </c>
    </row>
    <row r="119" spans="1:27" ht="18.75" customHeight="1">
      <c r="A119" s="3552" t="s">
        <v>1452</v>
      </c>
      <c r="B119" s="3552"/>
      <c r="C119" s="3552"/>
      <c r="D119" s="3592" t="str">
        <f>NUMBERSTRING(INT(D118*10000),2)&amp;"元整"</f>
        <v>零元整</v>
      </c>
      <c r="E119" s="3594"/>
      <c r="F119" s="3592" t="str">
        <f>NUMBERSTRING(INT(F118*10000),2)&amp;"元整"</f>
        <v>零元整</v>
      </c>
      <c r="G119" s="3594"/>
      <c r="H119" s="3592" t="str">
        <f ca="1">NUMBERSTRING(INT(H118*10000),2)&amp;"元整"</f>
        <v>壹仟伍佰陆拾叁万元整</v>
      </c>
      <c r="I119" s="3594"/>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1452</v>
      </c>
      <c r="B121" s="3593"/>
      <c r="C121" s="3594"/>
      <c r="D121" s="3592" t="str">
        <f>IF(D120=0,"零元整",NUMBERSTRING(INT(D120*10000),2)&amp;"元整")</f>
        <v>零元整</v>
      </c>
      <c r="E121" s="3593"/>
      <c r="F121" s="3593"/>
      <c r="G121" s="3593"/>
      <c r="H121" s="3593"/>
      <c r="I121" s="3594"/>
      <c r="AA121" s="725"/>
    </row>
    <row r="122" spans="1:27" ht="18.75" customHeight="1">
      <c r="A122" s="3583" t="str">
        <f>IF(项目基本情况!B9="房地产市场价值","",MID(E107,3,LEN(E107)-2))</f>
        <v>房地产抵押价值</v>
      </c>
      <c r="B122" s="3583"/>
      <c r="C122" s="3583"/>
      <c r="D122" s="3616">
        <f ca="1">H107</f>
        <v>1563</v>
      </c>
      <c r="E122" s="3617"/>
      <c r="F122" s="3617"/>
      <c r="G122" s="3617"/>
      <c r="H122" s="3617"/>
      <c r="I122" s="3618"/>
      <c r="AA122" s="725"/>
    </row>
    <row r="123" spans="1:27" ht="18.75" customHeight="1">
      <c r="A123" s="3552" t="s">
        <v>1452</v>
      </c>
      <c r="B123" s="3552"/>
      <c r="C123" s="3552"/>
      <c r="D123" s="3592" t="str">
        <f ca="1">NUMBERSTRING(INT(D122*10000),2)&amp;"元整"</f>
        <v>壹仟伍佰陆拾叁万元整</v>
      </c>
      <c r="E123" s="3593"/>
      <c r="F123" s="3593"/>
      <c r="G123" s="3593"/>
      <c r="H123" s="3593"/>
      <c r="I123" s="3594"/>
      <c r="AA123" s="725"/>
    </row>
    <row r="124" spans="1:27" ht="18.75" customHeight="1">
      <c r="A124" s="3583" t="str">
        <f>IF(项目基本情况!B9="房地产市场价值","",MID(E109,3,LEN(E109)-2))</f>
        <v/>
      </c>
      <c r="B124" s="3583"/>
      <c r="C124" s="3583"/>
      <c r="D124" s="3616" t="str">
        <f>H109</f>
        <v>——</v>
      </c>
      <c r="E124" s="3617"/>
      <c r="F124" s="3617"/>
      <c r="G124" s="3617"/>
      <c r="H124" s="3617"/>
      <c r="I124" s="3618"/>
      <c r="AA124" s="725"/>
    </row>
    <row r="125" spans="1:27" ht="18.75" customHeight="1">
      <c r="A125" s="3552" t="s">
        <v>1452</v>
      </c>
      <c r="B125" s="3552"/>
      <c r="C125" s="3552"/>
      <c r="D125" s="3592" t="e">
        <f>NUMBERSTRING(INT(D124*10000),2)&amp;"元整"</f>
        <v>#VALUE!</v>
      </c>
      <c r="E125" s="3593"/>
      <c r="F125" s="3593"/>
      <c r="G125" s="3593"/>
      <c r="H125" s="3593"/>
      <c r="I125" s="3594"/>
      <c r="AA125" s="725"/>
    </row>
    <row r="126" spans="1:27" ht="18.75" customHeight="1">
      <c r="A126" s="3583" t="str">
        <f>IF(项目基本情况!B9="房地产市场价值","",MID(E111,3,LEN(E111)-2))</f>
        <v/>
      </c>
      <c r="B126" s="3583"/>
      <c r="C126" s="3583"/>
      <c r="D126" s="3616" t="str">
        <f>H111</f>
        <v>——</v>
      </c>
      <c r="E126" s="3617"/>
      <c r="F126" s="3617"/>
      <c r="G126" s="3617"/>
      <c r="H126" s="3617"/>
      <c r="I126" s="3618"/>
      <c r="AA126" s="725"/>
    </row>
    <row r="127" spans="1:27" ht="18.75" customHeight="1">
      <c r="A127" s="3552" t="s">
        <v>1452</v>
      </c>
      <c r="B127" s="3552"/>
      <c r="C127" s="3552"/>
      <c r="D127" s="3592" t="e">
        <f>NUMBERSTRING(INT(D126*10000),2)&amp;"元整"</f>
        <v>#VALUE!</v>
      </c>
      <c r="E127" s="3593"/>
      <c r="F127" s="3593"/>
      <c r="G127" s="3593"/>
      <c r="H127" s="3593"/>
      <c r="I127" s="3594"/>
      <c r="AA127" s="725"/>
    </row>
    <row r="128" spans="1:27" ht="21.75" customHeight="1">
      <c r="A128" s="3599" t="s">
        <v>1453</v>
      </c>
      <c r="B128" s="3599"/>
      <c r="C128" s="3599"/>
      <c r="D128" s="3599"/>
      <c r="E128" s="3599"/>
      <c r="F128" s="3599"/>
      <c r="G128" s="3599"/>
      <c r="H128" s="3599"/>
      <c r="I128" s="359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103258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1639693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73382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73382</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13</v>
      </c>
      <c r="D10" s="845">
        <f ca="1">IF(B1="",'数据-汇总表'!E6,IF(INDIRECT("'数据-取费表'!c"&amp;$G$1)="住宅",INDIRECT("'数据-取费表'!s"&amp;$G$1),INDIRECT("'数据-取费表'!k"&amp;$G$1)+INDIRECT("'数据-取费表'!s"&amp;$G$1)))</f>
        <v>629.74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13</v>
      </c>
      <c r="D19" s="849">
        <f ca="1">D9+D10</f>
        <v>629.74</v>
      </c>
      <c r="E19" s="211">
        <f>'数据-取费表'!B31</f>
        <v>200</v>
      </c>
      <c r="F19" s="231"/>
      <c r="G19" s="1856"/>
    </row>
    <row r="20" spans="1:7" s="214" customFormat="1" ht="13.5" customHeight="1">
      <c r="A20" s="255" t="s">
        <v>1493</v>
      </c>
      <c r="B20" s="210" t="s">
        <v>1494</v>
      </c>
      <c r="C20" s="232">
        <f ca="1">ROUND((C5+C19)*F20,0)</f>
        <v>1468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5203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5151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51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14973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14973</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103079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147</v>
      </c>
      <c r="D34" s="217"/>
      <c r="E34" s="220"/>
      <c r="F34" s="257">
        <f ca="1">IF('数据-取费表'!B24=0,1,IF(B1="",'数据-取费表'!N16,INDIRECT("'数据-取费表'!n"&amp;$G$1)))</f>
        <v>1</v>
      </c>
      <c r="G34" s="219" t="s">
        <v>1526</v>
      </c>
    </row>
    <row r="35" spans="1:7" ht="13.5" customHeight="1">
      <c r="A35" s="780" t="s">
        <v>351</v>
      </c>
      <c r="B35" s="215" t="s">
        <v>1527</v>
      </c>
      <c r="C35" s="220">
        <f ca="1">ROUND(C34*F35,0)</f>
        <v>7</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13</v>
      </c>
      <c r="D37" s="217">
        <f ca="1">D19</f>
        <v>629.74</v>
      </c>
      <c r="E37" s="249">
        <f>'数据-取费表'!B35</f>
        <v>200</v>
      </c>
      <c r="F37" s="259"/>
      <c r="G37" s="261" t="s">
        <v>1532</v>
      </c>
    </row>
    <row r="38" spans="1:7" ht="13.5" customHeight="1">
      <c r="A38" s="780" t="s">
        <v>354</v>
      </c>
      <c r="B38" s="215" t="s">
        <v>1533</v>
      </c>
      <c r="C38" s="220">
        <f ca="1">ROUND(C34*F38,0)</f>
        <v>3</v>
      </c>
      <c r="D38" s="220"/>
      <c r="E38" s="220"/>
      <c r="F38" s="259">
        <f>'数据-取费表'!B36</f>
        <v>0.02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35</v>
      </c>
      <c r="D45" s="235">
        <f ca="1">C47</f>
        <v>4.0000000000000001E-3</v>
      </c>
      <c r="E45" s="236" t="s">
        <v>1539</v>
      </c>
      <c r="F45" s="246">
        <f ca="1">F27</f>
        <v>0.2</v>
      </c>
      <c r="G45" s="247" t="s">
        <v>1548</v>
      </c>
    </row>
    <row r="46" spans="1:7" s="214" customFormat="1" ht="13.5" customHeight="1">
      <c r="A46" s="780" t="s">
        <v>346</v>
      </c>
      <c r="B46" s="248" t="s">
        <v>1549</v>
      </c>
      <c r="C46" s="249">
        <f ca="1">ROUND((C33+C39)*F27,0)</f>
        <v>35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232</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179</v>
      </c>
      <c r="D51" s="232"/>
      <c r="E51" s="232"/>
      <c r="F51" s="264"/>
      <c r="G51" s="234" t="s">
        <v>1560</v>
      </c>
    </row>
    <row r="52" spans="1:7" s="208" customFormat="1" ht="16.5" thickBot="1">
      <c r="A52" s="265" t="s">
        <v>1561</v>
      </c>
      <c r="B52" s="266"/>
      <c r="C52" s="267">
        <f ca="1">C31+C51</f>
        <v>103258</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B3" sqref="B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v>201</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1470.9264000000001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40090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9242703.4100000001</v>
      </c>
      <c r="D5" s="211" t="s">
        <v>1469</v>
      </c>
      <c r="E5" s="212" t="s">
        <v>1470</v>
      </c>
      <c r="F5" s="212" t="s">
        <v>1471</v>
      </c>
      <c r="G5" s="213"/>
    </row>
    <row r="6" spans="1:8" s="214" customFormat="1" ht="13.5" customHeight="1">
      <c r="A6" s="778" t="s">
        <v>1472</v>
      </c>
      <c r="B6" s="215" t="s">
        <v>1473</v>
      </c>
      <c r="C6" s="216">
        <f>基准地价修正!T3*基准地价修正!U3</f>
        <v>8897934.4100000001</v>
      </c>
      <c r="D6" s="217"/>
      <c r="E6" s="218"/>
      <c r="F6" s="218"/>
      <c r="G6" s="219"/>
    </row>
    <row r="7" spans="1:8" s="214" customFormat="1" ht="13.5" customHeight="1">
      <c r="A7" s="778" t="s">
        <v>1474</v>
      </c>
      <c r="B7" s="215" t="s">
        <v>1475</v>
      </c>
      <c r="C7" s="220">
        <f>ROUND(C6*F7,0)</f>
        <v>271387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73382</v>
      </c>
      <c r="D8" s="222"/>
      <c r="E8" s="220"/>
      <c r="F8" s="221"/>
      <c r="G8" s="1856" t="s">
        <v>3407</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73382</v>
      </c>
      <c r="D10" s="845">
        <f ca="1">IF(B1="",'数据-汇总表'!E6,IF(INDIRECT("'数据-取费表'!c"&amp;$G$1)="住宅",INDIRECT("'数据-取费表'!s"&amp;$G$1),INDIRECT("'数据-取费表'!k"&amp;$G$1)+INDIRECT("'数据-取费表'!s"&amp;$G$1)))</f>
        <v>366.91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366.91</v>
      </c>
      <c r="E19" s="211">
        <f>'数据-取费表'!B31</f>
        <v>200</v>
      </c>
      <c r="F19" s="231"/>
      <c r="G19" s="1856" t="s">
        <v>3408</v>
      </c>
    </row>
    <row r="20" spans="1:7" s="214" customFormat="1" ht="13.5" customHeight="1">
      <c r="A20" s="255" t="s">
        <v>1574</v>
      </c>
      <c r="B20" s="210" t="s">
        <v>1575</v>
      </c>
      <c r="C20" s="232">
        <f ca="1">ROUND((C5+C19)*F20,0)</f>
        <v>184854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655125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648748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6377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1885511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1885511</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12980687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1643757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1467640</v>
      </c>
      <c r="D34" s="217"/>
      <c r="E34" s="220"/>
      <c r="F34" s="257"/>
      <c r="G34" s="219"/>
    </row>
    <row r="35" spans="1:7" ht="13.5" customHeight="1">
      <c r="A35" s="780" t="s">
        <v>351</v>
      </c>
      <c r="B35" s="215" t="s">
        <v>1527</v>
      </c>
      <c r="C35" s="220">
        <f ca="1">ROUND(C34*F35,0)</f>
        <v>73382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73382</v>
      </c>
      <c r="D37" s="217">
        <f ca="1">D19</f>
        <v>366.91</v>
      </c>
      <c r="E37" s="249">
        <f>'数据-取费表'!B35</f>
        <v>200</v>
      </c>
      <c r="F37" s="259"/>
      <c r="G37" s="261"/>
    </row>
    <row r="38" spans="1:7" ht="13.5" customHeight="1">
      <c r="A38" s="780" t="s">
        <v>354</v>
      </c>
      <c r="B38" s="215" t="s">
        <v>1533</v>
      </c>
      <c r="C38" s="220">
        <f ca="1">ROUND(C34*F38,0)</f>
        <v>29353</v>
      </c>
      <c r="D38" s="220"/>
      <c r="E38" s="220"/>
      <c r="F38" s="259">
        <f>'数据-取费表'!B36</f>
        <v>0.02</v>
      </c>
      <c r="G38" s="219" t="s">
        <v>1528</v>
      </c>
    </row>
    <row r="39" spans="1:7" s="214" customFormat="1" ht="13.5" customHeight="1">
      <c r="A39" s="255" t="s">
        <v>1534</v>
      </c>
      <c r="B39" s="210" t="s">
        <v>1535</v>
      </c>
      <c r="C39" s="232">
        <f ca="1">ROUND(C33*F20,0)</f>
        <v>32875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57844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56710</v>
      </c>
      <c r="D42" s="238"/>
      <c r="E42" s="238"/>
      <c r="F42" s="239"/>
      <c r="G42" s="3632" t="s">
        <v>1591</v>
      </c>
    </row>
    <row r="43" spans="1:7" ht="13.5" customHeight="1">
      <c r="A43" s="780" t="s">
        <v>347</v>
      </c>
      <c r="B43" s="215" t="s">
        <v>1545</v>
      </c>
      <c r="C43" s="238">
        <f ca="1">ROUND(IF('数据-取费表'!B22&lt;=1,C39*F22*'数据-取费表'!B20/2,C39*(POWER((1+F22),'数据-取费表'!B20/2)-1)),0)</f>
        <v>1134</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335326</v>
      </c>
      <c r="D45" s="235">
        <f ca="1">C47</f>
        <v>4.0000000000000001E-3</v>
      </c>
      <c r="E45" s="236" t="s">
        <v>1539</v>
      </c>
      <c r="F45" s="246">
        <f ca="1">F27</f>
        <v>0.2</v>
      </c>
      <c r="G45" s="247" t="s">
        <v>1548</v>
      </c>
    </row>
    <row r="46" spans="1:7" s="214" customFormat="1" ht="13.5" customHeight="1">
      <c r="A46" s="780" t="s">
        <v>346</v>
      </c>
      <c r="B46" s="248" t="s">
        <v>1549</v>
      </c>
      <c r="C46" s="249">
        <f ca="1">ROUND((C33+C39)*F27,0)</f>
        <v>335326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2244905</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1728577</v>
      </c>
      <c r="D51" s="232"/>
      <c r="E51" s="232"/>
      <c r="F51" s="264"/>
      <c r="G51" s="234" t="s">
        <v>1560</v>
      </c>
    </row>
    <row r="52" spans="1:7" s="208" customFormat="1" ht="16.5" thickBot="1">
      <c r="A52" s="265" t="s">
        <v>1561</v>
      </c>
      <c r="B52" s="266"/>
      <c r="C52" s="267">
        <f ca="1">C31+C51</f>
        <v>14709264</v>
      </c>
      <c r="D52" s="266"/>
      <c r="E52" s="266"/>
      <c r="F52" s="266"/>
      <c r="G52" s="268"/>
    </row>
    <row r="55" spans="1:7" ht="15">
      <c r="B55" s="270" t="s">
        <v>1562</v>
      </c>
      <c r="C55" s="271"/>
    </row>
    <row r="56" spans="1:7">
      <c r="B56" s="273" t="s">
        <v>802</v>
      </c>
      <c r="C56" s="275">
        <f ca="1">1-C57</f>
        <v>0.88200000000000001</v>
      </c>
    </row>
    <row r="57" spans="1:7">
      <c r="B57" s="273" t="s">
        <v>803</v>
      </c>
      <c r="C57" s="274">
        <f ca="1">ROUND(C51/C52,3)</f>
        <v>0.11799999999999999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87272</v>
      </c>
      <c r="C2" s="276" t="s">
        <v>1595</v>
      </c>
      <c r="D2" s="276"/>
      <c r="E2" s="2806"/>
      <c r="F2" s="2806"/>
      <c r="G2" s="2806"/>
      <c r="H2" s="2806"/>
      <c r="I2" s="2806"/>
      <c r="J2" s="2806"/>
      <c r="K2" s="2806"/>
    </row>
    <row r="3" spans="1:33" ht="18" customHeight="1" thickBot="1">
      <c r="A3" s="203" t="s">
        <v>1464</v>
      </c>
      <c r="B3" s="204">
        <f ca="1">ROUND(B2*10000/IF(C1="",'数据-汇总表'!E3,INDIRECT("'数据-取费表'!K"&amp;$K$1)),0)</f>
        <v>1385842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629.74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629.74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-73369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13</v>
      </c>
      <c r="D20" s="846">
        <f ca="1">IF(C1="",'数据-汇总表'!E6,IF(INDIRECT("'数据-取费表'!c"&amp;$K$1)="住宅",INDIRECT("'数据-取费表'!s"&amp;$K$1),INDIRECT("'数据-取费表'!k"&amp;$K$1)+INDIRECT("'数据-取费表'!s"&amp;$K$1)))</f>
        <v>629.74</v>
      </c>
      <c r="E20" s="21">
        <f>'数据-取费表'!B28</f>
        <v>200</v>
      </c>
      <c r="F20" s="804"/>
      <c r="G20" s="12"/>
      <c r="H20" s="809"/>
      <c r="I20" s="809"/>
      <c r="J20" s="809"/>
      <c r="K20" s="810"/>
    </row>
    <row r="21" spans="1:33" s="803" customFormat="1" ht="13.5" customHeight="1">
      <c r="A21" s="790" t="s">
        <v>357</v>
      </c>
      <c r="B21" s="813" t="s">
        <v>1628</v>
      </c>
      <c r="C21" s="814">
        <f ca="1">C16+C17+C18</f>
        <v>-73369</v>
      </c>
      <c r="D21" s="815"/>
      <c r="E21" s="281"/>
      <c r="F21" s="281"/>
      <c r="G21" s="131" t="s">
        <v>1629</v>
      </c>
      <c r="H21" s="807"/>
      <c r="I21" s="807"/>
      <c r="J21" s="807"/>
      <c r="K21" s="808"/>
    </row>
    <row r="22" spans="1:33" s="803" customFormat="1" ht="13.5" customHeight="1">
      <c r="A22" s="790" t="s">
        <v>1601</v>
      </c>
      <c r="B22" s="813" t="s">
        <v>1630</v>
      </c>
      <c r="C22" s="814">
        <f ca="1">ROUND(C21*F22,0)</f>
        <v>-1467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-14967</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-14967</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87272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2108</v>
      </c>
      <c r="E6" s="302" t="s">
        <v>696</v>
      </c>
      <c r="F6" s="303">
        <f ca="1">INDIRECT("'数据-取费表'!u"&amp;$G$1)</f>
        <v>0</v>
      </c>
      <c r="G6" s="1384"/>
      <c r="H6" s="1069" t="s">
        <v>398</v>
      </c>
      <c r="I6" s="3637" t="s">
        <v>694</v>
      </c>
      <c r="J6" s="301">
        <f ca="1">ROUND(M6*M8*M7*(1-M9)/10000,0)</f>
        <v>0</v>
      </c>
      <c r="K6" s="155"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2" sqref="H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201</v>
      </c>
      <c r="D1" s="1362" t="s">
        <v>43</v>
      </c>
      <c r="E1" s="1363" t="s">
        <v>678</v>
      </c>
      <c r="F1" s="1062">
        <f ca="1">J53</f>
        <v>24.01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1654.0504000000001</v>
      </c>
      <c r="C2" s="1387" t="s">
        <v>879</v>
      </c>
      <c r="D2" s="1471">
        <f ca="1">C40+J29+L46</f>
        <v>16540504</v>
      </c>
      <c r="E2" s="1388" t="s">
        <v>880</v>
      </c>
      <c r="F2" s="1389"/>
      <c r="G2" s="2706"/>
      <c r="H2" s="2695"/>
      <c r="I2" s="2695"/>
      <c r="J2" s="2695"/>
      <c r="K2" s="2696"/>
      <c r="L2" s="2695"/>
      <c r="M2" s="2695"/>
    </row>
    <row r="3" spans="1:37" ht="18" customHeight="1" thickBot="1">
      <c r="A3" s="1390" t="s">
        <v>881</v>
      </c>
      <c r="B3" s="1391">
        <f ca="1">IF(ISERROR(D2/F43),0,ROUND(D2/F43,0))</f>
        <v>45081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1206806</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1205299</v>
      </c>
      <c r="D6" s="155" t="s">
        <v>2105</v>
      </c>
      <c r="E6" s="302" t="s">
        <v>696</v>
      </c>
      <c r="F6" s="303">
        <f ca="1">INDIRECT("'数据-取费表'!u"&amp;$G$1)</f>
        <v>10</v>
      </c>
      <c r="G6" s="1384"/>
      <c r="H6" s="1069" t="s">
        <v>398</v>
      </c>
      <c r="I6" s="3637" t="s">
        <v>694</v>
      </c>
      <c r="J6" s="301">
        <f ca="1">ROUND(M6*M8*M7*(1-M9),0)</f>
        <v>0</v>
      </c>
      <c r="K6" s="1376" t="s">
        <v>2106</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366.91</v>
      </c>
      <c r="G7" s="1384"/>
      <c r="H7" s="304"/>
      <c r="I7" s="3638"/>
      <c r="J7" s="306"/>
      <c r="K7" s="307"/>
      <c r="L7" s="302" t="s">
        <v>697</v>
      </c>
      <c r="M7" s="303">
        <f ca="1">F7</f>
        <v>366.91</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1507</v>
      </c>
      <c r="D10" s="1366" t="s">
        <v>2115</v>
      </c>
      <c r="E10" s="313" t="s">
        <v>701</v>
      </c>
      <c r="F10" s="1116" t="s">
        <v>3394</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1728577</v>
      </c>
      <c r="D13" s="1081" t="s">
        <v>705</v>
      </c>
      <c r="E13" s="1081" t="s">
        <v>706</v>
      </c>
      <c r="F13" s="1082">
        <f ca="1">INDIRECT("'数据-取费表'!y"&amp;$G$1)</f>
        <v>0.77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1467640</v>
      </c>
      <c r="D14" s="1345" t="s">
        <v>708</v>
      </c>
      <c r="E14" s="1342"/>
      <c r="F14" s="319"/>
      <c r="G14" s="1384"/>
      <c r="H14" s="982" t="s">
        <v>398</v>
      </c>
      <c r="I14" s="302" t="s">
        <v>709</v>
      </c>
      <c r="J14" s="21">
        <f ca="1">C29</f>
        <v>2244905</v>
      </c>
      <c r="K14" s="12"/>
      <c r="L14" s="807"/>
      <c r="M14" s="808"/>
    </row>
    <row r="15" spans="1:37" s="1397" customFormat="1" ht="18" customHeight="1" thickBot="1">
      <c r="A15" s="982" t="s">
        <v>399</v>
      </c>
      <c r="B15" s="302" t="s">
        <v>710</v>
      </c>
      <c r="C15" s="21">
        <f ca="1">ROUND(C14*F15,0)</f>
        <v>73382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22449</v>
      </c>
      <c r="K16" s="1087" t="s">
        <v>715</v>
      </c>
      <c r="L16" s="1088"/>
      <c r="M16" s="1072"/>
    </row>
    <row r="17" spans="1:37" s="1397" customFormat="1" ht="18" customHeight="1">
      <c r="A17" s="982" t="s">
        <v>681</v>
      </c>
      <c r="B17" s="302" t="s">
        <v>716</v>
      </c>
      <c r="C17" s="21">
        <f ca="1">ROUND(F17*(F43+INDIRECT("'数据-取费表'!S"&amp;$G$1)),0)</f>
        <v>73382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29353</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1643757</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32875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22449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57844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-22449</v>
      </c>
      <c r="K25" s="1095" t="s">
        <v>753</v>
      </c>
      <c r="L25" s="1096"/>
      <c r="M25" s="1097"/>
    </row>
    <row r="26" spans="1:37" ht="18" customHeight="1">
      <c r="A26" s="982" t="s">
        <v>397</v>
      </c>
      <c r="B26" s="302" t="s">
        <v>754</v>
      </c>
      <c r="C26" s="21">
        <f ca="1">ROUND((C19+C20)*F26,0)</f>
        <v>335326</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2244905</v>
      </c>
      <c r="D29" s="1092"/>
      <c r="E29" s="1090"/>
      <c r="F29" s="1093"/>
      <c r="G29" s="1396"/>
      <c r="H29" s="334" t="s">
        <v>396</v>
      </c>
      <c r="I29" s="335" t="s">
        <v>768</v>
      </c>
      <c r="J29" s="336">
        <f ca="1">ROUND(J26/(1+F40)^F41,0)</f>
        <v>0</v>
      </c>
      <c r="K29" s="337" t="s">
        <v>769</v>
      </c>
      <c r="L29" s="338"/>
      <c r="M29" s="339">
        <f ca="1">INDIRECT("'数据-取费表'!k"&amp;$G$1)</f>
        <v>366.91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173994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137748</v>
      </c>
      <c r="D31" s="1345" t="s">
        <v>720</v>
      </c>
      <c r="E31" s="1344" t="s">
        <v>770</v>
      </c>
      <c r="F31" s="2315">
        <f ca="1">IF(项目基本情况!B11="企业","——",IF(M47="住宅",IF(F6*F7*F8/12/(1+'数据-取费表'!F30)&gt;100000,4%,2.5%),IF(F6*F7*F8/12/(1+'数据-取费表'!F30)&gt;100000,12%,7%)))</f>
        <v>0.12</v>
      </c>
      <c r="G31" s="1384"/>
      <c r="H31" s="2808" t="s">
        <v>2309</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22449</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1729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12068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1032812</v>
      </c>
      <c r="D39" s="1095" t="s">
        <v>773</v>
      </c>
      <c r="E39" s="1096"/>
      <c r="F39" s="1097"/>
      <c r="G39" s="1384"/>
      <c r="H39" s="2700"/>
      <c r="I39" s="1398"/>
      <c r="J39" s="1399"/>
      <c r="K39" s="2704"/>
      <c r="L39" s="2700"/>
      <c r="M39" s="2700"/>
    </row>
    <row r="40" spans="1:18" ht="18" customHeight="1">
      <c r="A40" s="299" t="s">
        <v>395</v>
      </c>
      <c r="B40" s="300" t="s">
        <v>774</v>
      </c>
      <c r="C40" s="301">
        <f ca="1">ROUND(C39*(1-((1+F42)/(1+F40))^F41)/(F40-F42),0)</f>
        <v>16382328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24.01</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44649</v>
      </c>
      <c r="D43" s="337" t="s">
        <v>777</v>
      </c>
      <c r="E43" s="338" t="s">
        <v>778</v>
      </c>
      <c r="F43" s="339">
        <f ca="1">INDIRECT("'数据-取费表'!k"&amp;$G$1)</f>
        <v>366.91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-1670.0374999999999</v>
      </c>
      <c r="D45" s="3432" t="s">
        <v>3355</v>
      </c>
      <c r="E45" s="1400"/>
      <c r="F45" s="1400"/>
      <c r="O45" s="1403" t="s">
        <v>808</v>
      </c>
      <c r="P45" s="1461"/>
      <c r="Q45" s="1461"/>
      <c r="R45" s="1461"/>
    </row>
    <row r="46" spans="1:18" s="1384" customFormat="1" ht="13.5" thickBot="1">
      <c r="A46" s="1404" t="s">
        <v>809</v>
      </c>
      <c r="C46" s="1405">
        <f ca="1">ROUND(C45,0)</f>
        <v>-1670</v>
      </c>
      <c r="D46" s="1406" t="str">
        <f>C2</f>
        <v>万元</v>
      </c>
      <c r="I46" s="1407" t="s">
        <v>810</v>
      </c>
      <c r="J46" s="1408"/>
      <c r="K46" s="1409"/>
      <c r="L46" s="1410">
        <f ca="1">IF(M47="住宅",0,IF(L48&gt;J51,L60,J60))</f>
        <v>158176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3395</v>
      </c>
      <c r="K47" s="1416" t="s">
        <v>816</v>
      </c>
      <c r="L47" s="1417">
        <f ca="1">INDIRECT("'数据-取费表'!d"&amp;$G$1)</f>
        <v>40</v>
      </c>
      <c r="M47" s="1380" t="str">
        <f>IF(ISNUMBER(FIND("住宅",C1)),"住宅","非住宅")</f>
        <v>非住宅</v>
      </c>
      <c r="O47" s="1418" t="s">
        <v>403</v>
      </c>
      <c r="P47" s="1419" t="s">
        <v>817</v>
      </c>
      <c r="Q47" s="1420">
        <f ca="1">C40+J29</f>
        <v>16382328</v>
      </c>
      <c r="R47" s="1420" t="s">
        <v>818</v>
      </c>
    </row>
    <row r="48" spans="1:18" s="1384" customFormat="1" ht="28.5" thickBot="1">
      <c r="A48" s="1110" t="s">
        <v>438</v>
      </c>
      <c r="B48" s="300" t="s">
        <v>692</v>
      </c>
      <c r="C48" s="1359">
        <f ca="1">C49+C53+C55</f>
        <v>0</v>
      </c>
      <c r="D48" s="1112"/>
      <c r="E48" s="1113"/>
      <c r="F48" s="962"/>
      <c r="G48" s="722"/>
      <c r="H48" s="723"/>
      <c r="I48" s="1421" t="s">
        <v>819</v>
      </c>
      <c r="J48" s="1422" t="s">
        <v>3396</v>
      </c>
      <c r="K48" s="1423" t="s">
        <v>820</v>
      </c>
      <c r="L48" s="1424">
        <f ca="1">INDIRECT("'数据-取费表'!f"&amp;$G$1)</f>
        <v>24.01</v>
      </c>
      <c r="O48" s="1418" t="s">
        <v>404</v>
      </c>
      <c r="P48" s="1419" t="s">
        <v>821</v>
      </c>
      <c r="Q48" s="1420">
        <f ca="1">J60</f>
        <v>158176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2010</v>
      </c>
      <c r="K49" s="1423" t="s">
        <v>824</v>
      </c>
      <c r="L49" s="1427"/>
      <c r="O49" s="1428" t="s">
        <v>405</v>
      </c>
      <c r="P49" s="1419" t="s">
        <v>825</v>
      </c>
      <c r="Q49" s="1420">
        <f ca="1">C29</f>
        <v>2244905</v>
      </c>
      <c r="R49" s="1420" t="s">
        <v>818</v>
      </c>
    </row>
    <row r="50" spans="1:18" s="1384" customFormat="1" ht="13.5" thickBot="1">
      <c r="A50" s="976"/>
      <c r="B50" s="979"/>
      <c r="C50" s="980"/>
      <c r="D50" s="953"/>
      <c r="E50" s="1056" t="s">
        <v>697</v>
      </c>
      <c r="F50" s="1057">
        <f ca="1">F7</f>
        <v>366.91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15166085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24.01</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24.01</v>
      </c>
      <c r="K53" s="3635" t="s">
        <v>837</v>
      </c>
      <c r="L53" s="3636"/>
      <c r="O53" s="1418" t="s">
        <v>409</v>
      </c>
      <c r="P53" s="1419" t="s">
        <v>838</v>
      </c>
      <c r="Q53" s="1420">
        <f ca="1">Q47+Q48</f>
        <v>16540504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1728577</v>
      </c>
      <c r="D56" s="1447"/>
      <c r="E56" s="1448"/>
      <c r="F56" s="1440"/>
      <c r="I56" s="1449" t="s">
        <v>842</v>
      </c>
      <c r="J56" s="1450"/>
      <c r="K56" s="1421" t="s">
        <v>843</v>
      </c>
      <c r="L56" s="1424" t="str">
        <f ca="1">IF(L48&lt;J51,"——",L48-J51)</f>
        <v>——</v>
      </c>
      <c r="O56" s="1418" t="s">
        <v>403</v>
      </c>
      <c r="P56" s="1419" t="s">
        <v>817</v>
      </c>
      <c r="Q56" s="1420">
        <f ca="1">C40+J29</f>
        <v>16382328</v>
      </c>
      <c r="R56" s="1420" t="s">
        <v>818</v>
      </c>
    </row>
    <row r="57" spans="1:18" s="1384" customFormat="1" ht="24.75" thickBot="1">
      <c r="A57" s="1451"/>
      <c r="B57" s="950" t="s">
        <v>767</v>
      </c>
      <c r="C57" s="238">
        <f ca="1">C29</f>
        <v>2244905</v>
      </c>
      <c r="D57" s="1452"/>
      <c r="E57" s="1453"/>
      <c r="F57" s="1454"/>
      <c r="I57" s="1455" t="s">
        <v>844</v>
      </c>
      <c r="J57" s="1456">
        <f ca="1">IF(OR(M47="住宅",J51&lt;L48,J56="是"),"——",J51-L48)</f>
        <v>21.99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24178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897962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158176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16382328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22449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1729</v>
      </c>
      <c r="D65" s="964" t="s">
        <v>743</v>
      </c>
      <c r="E65" s="950" t="s">
        <v>744</v>
      </c>
      <c r="F65" s="330">
        <f t="shared" ca="1" si="0"/>
        <v>1E-3</v>
      </c>
      <c r="I65" s="1462" t="s">
        <v>867</v>
      </c>
      <c r="J65" s="1463">
        <v>40</v>
      </c>
      <c r="K65" s="1463">
        <v>30</v>
      </c>
      <c r="L65" s="1463">
        <v>50</v>
      </c>
      <c r="M65" s="1465">
        <v>0.02</v>
      </c>
      <c r="O65" s="1418" t="s">
        <v>403</v>
      </c>
      <c r="P65" s="1419" t="s">
        <v>868</v>
      </c>
      <c r="Q65" s="1420">
        <f ca="1">C40+J29</f>
        <v>16382328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-24178</v>
      </c>
      <c r="D67" s="963" t="s">
        <v>753</v>
      </c>
      <c r="E67" s="968"/>
      <c r="F67" s="969"/>
      <c r="O67" s="1428" t="s">
        <v>405</v>
      </c>
      <c r="P67" s="1419" t="s">
        <v>850</v>
      </c>
      <c r="Q67" s="1466">
        <f ca="1">L51</f>
        <v>15166085</v>
      </c>
      <c r="R67" s="1420" t="s">
        <v>870</v>
      </c>
    </row>
    <row r="68" spans="1:18" s="1384" customFormat="1" ht="16.5" thickBot="1">
      <c r="A68" s="947" t="s">
        <v>395</v>
      </c>
      <c r="B68" s="948" t="s">
        <v>774</v>
      </c>
      <c r="C68" s="301">
        <f ca="1">ROUND(C67*(1-((1+F70)/(1+F68))^F69)/(F68-F70),0)</f>
        <v>-318047</v>
      </c>
      <c r="D68" s="965" t="s">
        <v>758</v>
      </c>
      <c r="E68" s="950" t="s">
        <v>759</v>
      </c>
      <c r="F68" s="312">
        <f ca="1">F40</f>
        <v>5.5E-2</v>
      </c>
      <c r="O68" s="1428" t="s">
        <v>406</v>
      </c>
      <c r="P68" s="1467" t="s">
        <v>871</v>
      </c>
      <c r="Q68" s="1420">
        <f ca="1">ROUND(Q69-Q70*Q71,0)</f>
        <v>911812</v>
      </c>
      <c r="R68" s="1420" t="s">
        <v>414</v>
      </c>
    </row>
    <row r="69" spans="1:18" s="1384" customFormat="1" ht="13.5" thickBot="1">
      <c r="A69" s="951"/>
      <c r="B69" s="952"/>
      <c r="C69" s="306"/>
      <c r="D69" s="970" t="s">
        <v>762</v>
      </c>
      <c r="E69" s="950" t="s">
        <v>763</v>
      </c>
      <c r="F69" s="333">
        <f ca="1">F41</f>
        <v>24.01</v>
      </c>
      <c r="O69" s="1428" t="s">
        <v>411</v>
      </c>
      <c r="P69" s="1467" t="s">
        <v>872</v>
      </c>
      <c r="Q69" s="1420">
        <f ca="1">C39</f>
        <v>1032812</v>
      </c>
      <c r="R69" s="1420" t="s">
        <v>818</v>
      </c>
    </row>
    <row r="70" spans="1:18" s="1384" customFormat="1" ht="13.5" thickBot="1">
      <c r="A70" s="954"/>
      <c r="B70" s="955"/>
      <c r="C70" s="310"/>
      <c r="D70" s="966"/>
      <c r="E70" s="950" t="s">
        <v>766</v>
      </c>
      <c r="F70" s="1054"/>
      <c r="O70" s="1428" t="s">
        <v>412</v>
      </c>
      <c r="P70" s="1467" t="s">
        <v>873</v>
      </c>
      <c r="Q70" s="1420">
        <f ca="1">C13</f>
        <v>1728577</v>
      </c>
      <c r="R70" s="1420" t="s">
        <v>818</v>
      </c>
    </row>
    <row r="71" spans="1:18" s="1384" customFormat="1" ht="13.5" thickBot="1">
      <c r="A71" s="971" t="s">
        <v>396</v>
      </c>
      <c r="B71" s="972" t="s">
        <v>776</v>
      </c>
      <c r="C71" s="336">
        <f ca="1">ROUND(C68/F71,0)</f>
        <v>-867</v>
      </c>
      <c r="D71" s="973" t="s">
        <v>777</v>
      </c>
      <c r="E71" s="974" t="s">
        <v>778</v>
      </c>
      <c r="F71" s="339">
        <f ca="1">F43</f>
        <v>366.91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121000</v>
      </c>
      <c r="D75" s="1384"/>
      <c r="E75" s="1384"/>
      <c r="F75" s="1384"/>
      <c r="K75" s="1402"/>
      <c r="L75" s="1384"/>
      <c r="O75" s="1418" t="s">
        <v>409</v>
      </c>
      <c r="P75" s="1419" t="s">
        <v>838</v>
      </c>
      <c r="Q75" s="1420">
        <f ca="1">Q65+Q66</f>
        <v>16382328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0.88300000000000001</v>
      </c>
    </row>
    <row r="80" spans="1:18">
      <c r="B80" s="340" t="s">
        <v>800</v>
      </c>
      <c r="C80" s="274">
        <f ca="1">ROUND(C75/C39,3)</f>
        <v>0.11700000000000001</v>
      </c>
    </row>
    <row r="81" spans="2:3">
      <c r="B81" s="270" t="s">
        <v>801</v>
      </c>
      <c r="C81" s="238"/>
    </row>
    <row r="82" spans="2:3">
      <c r="B82" s="273" t="s">
        <v>802</v>
      </c>
      <c r="C82" s="275">
        <f ca="1">1-C83</f>
        <v>0.89400000000000002</v>
      </c>
    </row>
    <row r="83" spans="2:3">
      <c r="B83" s="273" t="s">
        <v>803</v>
      </c>
      <c r="C83" s="274">
        <f ca="1">ROUND(C13/C40,3)</f>
        <v>0.106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51" sqref="F51"/>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3361</v>
      </c>
      <c r="E2" s="3444"/>
      <c r="F2" s="2846"/>
      <c r="G2" s="2847"/>
      <c r="H2" s="2848"/>
      <c r="I2" s="2849"/>
      <c r="J2" s="3646" t="s">
        <v>2320</v>
      </c>
      <c r="K2" s="3647"/>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8" t="s">
        <v>2330</v>
      </c>
      <c r="K3" s="3649"/>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8" t="s">
        <v>2332</v>
      </c>
      <c r="K4" s="3649"/>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4" t="s">
        <v>2336</v>
      </c>
      <c r="B6" s="3655"/>
      <c r="C6" s="3656"/>
      <c r="D6" s="2870"/>
      <c r="E6" s="2871"/>
      <c r="F6" s="2872"/>
      <c r="G6" s="2873"/>
      <c r="H6" s="2848"/>
      <c r="I6" s="2849"/>
      <c r="J6" s="3640">
        <v>1</v>
      </c>
      <c r="K6" s="3641"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0"/>
      <c r="K7" s="3642"/>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7" t="s">
        <v>2350</v>
      </c>
      <c r="C8" s="3658"/>
      <c r="D8" s="2889" t="s">
        <v>2351</v>
      </c>
      <c r="E8" s="2890" t="s">
        <v>2352</v>
      </c>
      <c r="F8" s="2891" t="s">
        <v>2353</v>
      </c>
      <c r="G8" s="2892"/>
      <c r="H8" s="2848"/>
      <c r="I8" s="2849"/>
      <c r="J8" s="3640"/>
      <c r="K8" s="3642"/>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7" t="s">
        <v>2356</v>
      </c>
      <c r="C9" s="3658"/>
      <c r="D9" s="2889">
        <f>ROUND(D6*E9,0)</f>
        <v>0</v>
      </c>
      <c r="E9" s="2893"/>
      <c r="F9" s="2894" t="s">
        <v>2357</v>
      </c>
      <c r="G9" s="2873"/>
      <c r="H9" s="2848"/>
      <c r="I9" s="2849"/>
      <c r="J9" s="3640"/>
      <c r="K9" s="3642"/>
      <c r="L9" s="2883" t="s">
        <v>2358</v>
      </c>
      <c r="M9" s="2884"/>
      <c r="N9" s="2860"/>
      <c r="O9" s="2885"/>
      <c r="P9" s="2885"/>
      <c r="Q9" s="2886">
        <v>365</v>
      </c>
      <c r="R9" s="2887">
        <f t="shared" si="0"/>
        <v>0</v>
      </c>
      <c r="S9" s="2841"/>
      <c r="T9" s="2841"/>
      <c r="U9" s="2841"/>
      <c r="V9" s="2849"/>
    </row>
    <row r="10" spans="1:22" s="2853" customFormat="1" ht="13.15" customHeight="1">
      <c r="A10" s="2888">
        <v>2</v>
      </c>
      <c r="B10" s="3657" t="s">
        <v>2359</v>
      </c>
      <c r="C10" s="3658"/>
      <c r="D10" s="2889">
        <f>ROUND(D6*E10,0)</f>
        <v>0</v>
      </c>
      <c r="E10" s="2893"/>
      <c r="F10" s="2894" t="s">
        <v>2360</v>
      </c>
      <c r="G10" s="2873"/>
      <c r="H10" s="2848"/>
      <c r="I10" s="2849"/>
      <c r="J10" s="3640"/>
      <c r="K10" s="3642"/>
      <c r="L10" s="2883" t="s">
        <v>2361</v>
      </c>
      <c r="M10" s="2884"/>
      <c r="N10" s="2860"/>
      <c r="O10" s="2885"/>
      <c r="P10" s="2885"/>
      <c r="Q10" s="2886">
        <v>365</v>
      </c>
      <c r="R10" s="2887">
        <f t="shared" si="0"/>
        <v>0</v>
      </c>
      <c r="S10" s="2841"/>
      <c r="T10" s="2841"/>
      <c r="U10" s="2841"/>
      <c r="V10" s="2849"/>
    </row>
    <row r="11" spans="1:22" s="2853" customFormat="1" ht="13.15" customHeight="1">
      <c r="A11" s="2888">
        <v>3</v>
      </c>
      <c r="B11" s="3657" t="s">
        <v>2362</v>
      </c>
      <c r="C11" s="3658"/>
      <c r="D11" s="2889">
        <f>D12+D14+D15+D16</f>
        <v>0</v>
      </c>
      <c r="E11" s="2895" t="e">
        <f>D11/D6</f>
        <v>#DIV/0!</v>
      </c>
      <c r="F11" s="2891"/>
      <c r="G11" s="2892"/>
      <c r="H11" s="2848"/>
      <c r="I11" s="2849"/>
      <c r="J11" s="3640"/>
      <c r="K11" s="3642"/>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0" t="s">
        <v>2365</v>
      </c>
      <c r="C12" s="3651"/>
      <c r="D12" s="2897">
        <f>ROUND(D13*1.2%*(1-30%),0)</f>
        <v>0</v>
      </c>
      <c r="E12" s="2898">
        <v>1.2E-2</v>
      </c>
      <c r="F12" s="2891" t="s">
        <v>2366</v>
      </c>
      <c r="G12" s="2892"/>
      <c r="H12" s="2848"/>
      <c r="I12" s="2849"/>
      <c r="J12" s="3640"/>
      <c r="K12" s="3642"/>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0"/>
      <c r="K13" s="3642"/>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0" t="s">
        <v>2371</v>
      </c>
      <c r="C14" s="3651"/>
      <c r="D14" s="2897">
        <f>ROUND(E14*B5/10000,0)</f>
        <v>0</v>
      </c>
      <c r="E14" s="2886"/>
      <c r="F14" s="2891" t="s">
        <v>2372</v>
      </c>
      <c r="G14" s="2892"/>
      <c r="H14" s="2848"/>
      <c r="I14" s="2849"/>
      <c r="J14" s="3640"/>
      <c r="K14" s="3643"/>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0" t="s">
        <v>2375</v>
      </c>
      <c r="C15" s="3651"/>
      <c r="D15" s="2897">
        <f>ROUND(D6*E15,0)</f>
        <v>0</v>
      </c>
      <c r="E15" s="2898">
        <v>5.5E-2</v>
      </c>
      <c r="F15" s="2891" t="s">
        <v>2376</v>
      </c>
      <c r="G15" s="2873"/>
      <c r="H15" s="2848"/>
      <c r="I15" s="2849"/>
      <c r="J15" s="3640">
        <v>2</v>
      </c>
      <c r="K15" s="3641"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0" t="s">
        <v>2384</v>
      </c>
      <c r="C16" s="3651"/>
      <c r="D16" s="2908">
        <f>D6*E16</f>
        <v>0</v>
      </c>
      <c r="E16" s="2909"/>
      <c r="F16" s="2894" t="s">
        <v>2385</v>
      </c>
      <c r="G16" s="2873"/>
      <c r="H16" s="2848"/>
      <c r="I16" s="2849"/>
      <c r="J16" s="3640"/>
      <c r="K16" s="3642"/>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2" t="s">
        <v>2387</v>
      </c>
      <c r="C17" s="3653"/>
      <c r="D17" s="2911">
        <f>ROUND(D6*E17,0)</f>
        <v>0</v>
      </c>
      <c r="E17" s="2912"/>
      <c r="F17" s="2913" t="s">
        <v>2388</v>
      </c>
      <c r="G17" s="2873"/>
      <c r="H17" s="2848"/>
      <c r="I17" s="2849"/>
      <c r="J17" s="3640"/>
      <c r="K17" s="3642"/>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0"/>
      <c r="K18" s="3642"/>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0"/>
      <c r="K19" s="3643"/>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0">
        <v>3</v>
      </c>
      <c r="K20" s="3641"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0"/>
      <c r="K21" s="3642"/>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0"/>
      <c r="K22" s="3642"/>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0"/>
      <c r="K23" s="3642"/>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0"/>
      <c r="K24" s="3643"/>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44">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4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6" t="s">
        <v>2320</v>
      </c>
      <c r="K32" s="3647"/>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8" t="s">
        <v>2330</v>
      </c>
      <c r="K33" s="3649"/>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8" t="s">
        <v>2332</v>
      </c>
      <c r="K34" s="364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0">
        <v>1</v>
      </c>
      <c r="K36" s="3641"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0"/>
      <c r="K37" s="3642"/>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0"/>
      <c r="K38" s="3642"/>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0"/>
      <c r="K39" s="3642"/>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0"/>
      <c r="K40" s="3643"/>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4">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4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51" sqref="F51"/>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1654.0504000000001</v>
      </c>
      <c r="C2" s="1872" t="s">
        <v>1651</v>
      </c>
      <c r="D2" s="1873" t="s">
        <v>1652</v>
      </c>
      <c r="E2" s="2607">
        <f>SUM(E6:E13)</f>
        <v>366.91</v>
      </c>
      <c r="F2" s="2707"/>
      <c r="G2" s="1489"/>
      <c r="H2" s="1489"/>
      <c r="I2" s="1489"/>
      <c r="J2" s="1489"/>
      <c r="K2" s="1489"/>
      <c r="L2" s="1489"/>
      <c r="M2" s="1489"/>
      <c r="N2" s="1489"/>
      <c r="O2" s="1489"/>
      <c r="P2" s="1489"/>
      <c r="Q2" s="1489"/>
      <c r="R2" s="1489"/>
      <c r="S2" s="1489"/>
    </row>
    <row r="3" spans="1:22" ht="15.75">
      <c r="A3" s="1870" t="s">
        <v>686</v>
      </c>
      <c r="B3" s="2601">
        <f ca="1">ROUND(B2*10000/E2,0)</f>
        <v>45081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1654.0504000000001</v>
      </c>
      <c r="C6" s="1872" t="s">
        <v>1651</v>
      </c>
      <c r="D6" s="2709"/>
      <c r="E6" s="2606">
        <f>IF(OR(A6=0,F6="否"),0,'数据-取费表'!K6+'数据-取费表'!S6)</f>
        <v>366.91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51" sqref="F5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629.74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89" t="s">
        <v>1668</v>
      </c>
      <c r="S4" s="3690"/>
      <c r="T4" s="3689" t="s">
        <v>1669</v>
      </c>
      <c r="U4" s="3690"/>
      <c r="V4" s="3695" t="s">
        <v>1670</v>
      </c>
      <c r="W4" s="3695"/>
      <c r="X4" s="1355"/>
      <c r="Y4" s="3689" t="s">
        <v>1672</v>
      </c>
      <c r="Z4" s="3690"/>
      <c r="AA4" s="3676" t="s">
        <v>1668</v>
      </c>
      <c r="AB4" s="3676" t="s">
        <v>1669</v>
      </c>
      <c r="AC4" s="3676" t="s">
        <v>1670</v>
      </c>
    </row>
    <row r="5" spans="1:29" ht="15">
      <c r="A5" s="358"/>
      <c r="B5" s="359"/>
      <c r="C5" s="3698" t="s">
        <v>1673</v>
      </c>
      <c r="D5" s="3699"/>
      <c r="E5" s="3705" t="s">
        <v>1674</v>
      </c>
      <c r="F5" s="3706"/>
      <c r="G5" s="3698" t="s">
        <v>1675</v>
      </c>
      <c r="H5" s="3699"/>
      <c r="I5" s="3698" t="s">
        <v>1676</v>
      </c>
      <c r="J5" s="3699"/>
      <c r="K5" s="1890"/>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1890"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45427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0" t="s">
        <v>1680</v>
      </c>
      <c r="Q7" s="3702"/>
      <c r="R7" s="701" t="s">
        <v>20</v>
      </c>
      <c r="S7" s="702">
        <f t="shared" ref="S7:S15" si="0">F7</f>
        <v>0</v>
      </c>
      <c r="T7" s="701" t="s">
        <v>20</v>
      </c>
      <c r="U7" s="702">
        <f t="shared" ref="U7:U15" si="1">H7</f>
        <v>0</v>
      </c>
      <c r="V7" s="701" t="s">
        <v>20</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5"/>
      <c r="Q11" s="1343" t="str">
        <f t="shared" si="6"/>
        <v>容积率</v>
      </c>
      <c r="R11" s="701" t="s">
        <v>18</v>
      </c>
      <c r="S11" s="702" t="e">
        <f t="shared" si="0"/>
        <v>#N/A</v>
      </c>
      <c r="T11" s="701" t="s">
        <v>18</v>
      </c>
      <c r="U11" s="702" t="e">
        <f t="shared" si="1"/>
        <v>#N/A</v>
      </c>
      <c r="V11" s="701" t="s">
        <v>18</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5"/>
      <c r="Q12" s="1343">
        <f t="shared" si="6"/>
        <v>111</v>
      </c>
      <c r="R12" s="701" t="s">
        <v>18</v>
      </c>
      <c r="S12" s="702">
        <f t="shared" si="0"/>
        <v>100</v>
      </c>
      <c r="T12" s="701" t="s">
        <v>18</v>
      </c>
      <c r="U12" s="702">
        <f t="shared" si="1"/>
        <v>100</v>
      </c>
      <c r="V12" s="701" t="s">
        <v>18</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5"/>
      <c r="Q13" s="1343">
        <f t="shared" si="6"/>
        <v>111</v>
      </c>
      <c r="R13" s="701" t="s">
        <v>18</v>
      </c>
      <c r="S13" s="702">
        <f t="shared" si="0"/>
        <v>100</v>
      </c>
      <c r="T13" s="701" t="s">
        <v>18</v>
      </c>
      <c r="U13" s="702">
        <f t="shared" si="1"/>
        <v>100</v>
      </c>
      <c r="V13" s="701" t="s">
        <v>18</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5"/>
      <c r="Q14" s="1343">
        <f t="shared" si="6"/>
        <v>111</v>
      </c>
      <c r="R14" s="701" t="s">
        <v>18</v>
      </c>
      <c r="S14" s="702">
        <f t="shared" si="0"/>
        <v>100</v>
      </c>
      <c r="T14" s="701" t="s">
        <v>18</v>
      </c>
      <c r="U14" s="702">
        <f t="shared" si="1"/>
        <v>100</v>
      </c>
      <c r="V14" s="701" t="s">
        <v>18</v>
      </c>
      <c r="W14" s="702">
        <f t="shared" si="2"/>
        <v>100</v>
      </c>
      <c r="X14" s="703"/>
      <c r="Y14" s="35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3"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4"/>
      <c r="Q16" s="1352"/>
      <c r="R16" s="705"/>
      <c r="S16" s="706"/>
      <c r="T16" s="705"/>
      <c r="U16" s="706"/>
      <c r="V16" s="705"/>
      <c r="W16" s="706"/>
      <c r="X16" s="1355"/>
      <c r="Y16" s="366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4"/>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4"/>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4"/>
      <c r="Q22" s="1352"/>
      <c r="R22" s="705"/>
      <c r="S22" s="706"/>
      <c r="T22" s="705"/>
      <c r="U22" s="706"/>
      <c r="V22" s="705"/>
      <c r="W22" s="706"/>
      <c r="X22" s="1355"/>
      <c r="Y22" s="366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4"/>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4"/>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4"/>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4"/>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4"/>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4"/>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4"/>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4" t="str">
        <f>A47</f>
        <v>成交单价（元/平方米）</v>
      </c>
      <c r="Q47" s="3664"/>
      <c r="R47" s="3665">
        <f>E47</f>
        <v>0</v>
      </c>
      <c r="S47" s="3665"/>
      <c r="T47" s="3665">
        <f>G47</f>
        <v>0</v>
      </c>
      <c r="U47" s="3665"/>
      <c r="V47" s="3665">
        <f>I47</f>
        <v>0</v>
      </c>
      <c r="W47" s="3665"/>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 zoomScale="85" zoomScaleNormal="70" zoomScaleSheetLayoutView="85"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v>201</v>
      </c>
      <c r="E1" s="3426" t="s">
        <v>3419</v>
      </c>
      <c r="F1" s="1879" t="s">
        <v>3410</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2068.9321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56388</v>
      </c>
      <c r="C3" s="354" t="s">
        <v>1768</v>
      </c>
      <c r="D3" s="353">
        <f>IF(D1="",'数据-汇总表'!E3,SUMIF('数据-汇总表'!$C19:$C33,D1,'数据-汇总表'!$E19:$E33))</f>
        <v>366.91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95" t="s">
        <v>1772</v>
      </c>
      <c r="AC4" s="3676" t="s">
        <v>1773</v>
      </c>
    </row>
    <row r="5" spans="1:29" ht="15">
      <c r="A5" s="358"/>
      <c r="B5" s="359"/>
      <c r="C5" s="3790" t="s">
        <v>3411</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95"/>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95"/>
      <c r="AC6" s="3678"/>
    </row>
    <row r="7" spans="1:29" s="108" customFormat="1" ht="15.75" thickBot="1">
      <c r="A7" s="362" t="s">
        <v>1679</v>
      </c>
      <c r="B7" s="363"/>
      <c r="C7" s="364">
        <f>'数据-取费表'!B2</f>
        <v>45427</v>
      </c>
      <c r="D7" s="365">
        <v>100</v>
      </c>
      <c r="E7" s="366">
        <v>45413</v>
      </c>
      <c r="F7" s="367">
        <f>SUMIF(58:58,YEAR(E7)&amp;"-"&amp;MONTH(E7),59:59)</f>
        <v>100</v>
      </c>
      <c r="G7" s="366">
        <v>45413</v>
      </c>
      <c r="H7" s="365">
        <f>SUMIF(58:58,YEAR(G7)&amp;"-"&amp;MONTH(G7),59:59)</f>
        <v>100</v>
      </c>
      <c r="I7" s="366">
        <v>45413</v>
      </c>
      <c r="J7" s="365">
        <f>SUMIF(58:58,YEAR(I7)&amp;"-"&amp;MONTH(I7),59:59)</f>
        <v>100</v>
      </c>
      <c r="K7" s="560"/>
      <c r="L7" s="2717"/>
      <c r="M7" s="2718"/>
      <c r="N7" s="2718"/>
      <c r="O7" s="2718"/>
      <c r="P7" s="3700" t="s">
        <v>1680</v>
      </c>
      <c r="Q7" s="3702"/>
      <c r="R7" s="701" t="s">
        <v>14</v>
      </c>
      <c r="S7" s="702">
        <f t="shared" ref="S7:S15" si="0">F7</f>
        <v>100</v>
      </c>
      <c r="T7" s="701" t="s">
        <v>14</v>
      </c>
      <c r="U7" s="702">
        <f t="shared" ref="U7:U15" si="1">H7</f>
        <v>100</v>
      </c>
      <c r="V7" s="701" t="s">
        <v>14</v>
      </c>
      <c r="W7" s="702">
        <f t="shared" ref="W7:W15" si="2">J7</f>
        <v>100</v>
      </c>
      <c r="X7" s="703"/>
      <c r="Y7" s="3700" t="s">
        <v>1680</v>
      </c>
      <c r="Z7" s="3701"/>
      <c r="AA7" s="704">
        <f>D7/F7</f>
        <v>1</v>
      </c>
      <c r="AB7" s="704">
        <f>D7/H7</f>
        <v>1</v>
      </c>
      <c r="AC7" s="704">
        <f>D7/J7</f>
        <v>1</v>
      </c>
    </row>
    <row r="8" spans="1:29" s="108" customFormat="1" ht="15.75" thickBot="1">
      <c r="A8" s="362" t="s">
        <v>1681</v>
      </c>
      <c r="B8" s="363"/>
      <c r="C8" s="368" t="s">
        <v>3412</v>
      </c>
      <c r="D8" s="365">
        <v>100</v>
      </c>
      <c r="E8" s="368" t="s">
        <v>3413</v>
      </c>
      <c r="F8" s="367">
        <f>SUMIF(61:61,E8,62:62)-SUMIF(61:61,C8,62:62)+100</f>
        <v>120</v>
      </c>
      <c r="G8" s="368" t="s">
        <v>3413</v>
      </c>
      <c r="H8" s="365">
        <f>SUMIF(61:61,G8,62:62)-SUMIF(61:61,C8,62:62)+100</f>
        <v>120</v>
      </c>
      <c r="I8" s="368" t="s">
        <v>3413</v>
      </c>
      <c r="J8" s="365">
        <f>SUMIF(61:61,I8,62:62)-SUMIF(61:61,C8,62:62)+100</f>
        <v>120</v>
      </c>
      <c r="K8" s="560"/>
      <c r="L8" s="2717"/>
      <c r="M8" s="2718"/>
      <c r="N8" s="2718"/>
      <c r="O8" s="2718"/>
      <c r="P8" s="3700" t="s">
        <v>1683</v>
      </c>
      <c r="Q8" s="3701"/>
      <c r="R8" s="701" t="s">
        <v>14</v>
      </c>
      <c r="S8" s="702">
        <f t="shared" si="0"/>
        <v>120</v>
      </c>
      <c r="T8" s="701" t="s">
        <v>14</v>
      </c>
      <c r="U8" s="702">
        <f t="shared" si="1"/>
        <v>120</v>
      </c>
      <c r="V8" s="701" t="s">
        <v>14</v>
      </c>
      <c r="W8" s="702">
        <f t="shared" si="2"/>
        <v>120</v>
      </c>
      <c r="X8" s="703"/>
      <c r="Y8" s="3700" t="s">
        <v>1683</v>
      </c>
      <c r="Z8" s="3701"/>
      <c r="AA8" s="704">
        <f t="shared" ref="AA8:AA46" si="3">D8/F8</f>
        <v>0.83333333333333337</v>
      </c>
      <c r="AB8" s="704">
        <f t="shared" ref="AB8:AB46" si="4">D8/H8</f>
        <v>0.83333333333333337</v>
      </c>
      <c r="AC8" s="704">
        <f t="shared" ref="AC8:AC46" si="5">D8/J8</f>
        <v>0.83333333333333337</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5"/>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3"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4"/>
      <c r="Q22" s="1352"/>
      <c r="R22" s="705"/>
      <c r="S22" s="706"/>
      <c r="T22" s="705"/>
      <c r="U22" s="706"/>
      <c r="V22" s="705"/>
      <c r="W22" s="706"/>
      <c r="X22" s="1355"/>
      <c r="Y22" s="366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4"/>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4"/>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4"/>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4"/>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1783</v>
      </c>
      <c r="C28" s="565" t="s">
        <v>3417</v>
      </c>
      <c r="D28" s="386">
        <v>100</v>
      </c>
      <c r="E28" s="565" t="s">
        <v>3418</v>
      </c>
      <c r="F28" s="412">
        <f>SUMIF(92:92,E28,93:93)-SUMIF(92:92,C28,93:93)+100</f>
        <v>120</v>
      </c>
      <c r="G28" s="565" t="s">
        <v>3418</v>
      </c>
      <c r="H28" s="386">
        <f>SUMIF(92:92,G28,93:93)-SUMIF(92:92,C28,93:93)+100</f>
        <v>120</v>
      </c>
      <c r="I28" s="565" t="s">
        <v>3418</v>
      </c>
      <c r="J28" s="386">
        <f>SUMIF(92:92,I28,93:93)-SUMIF(92:92,C28,93:93)+100</f>
        <v>120</v>
      </c>
      <c r="K28" s="562"/>
      <c r="L28" s="2722"/>
      <c r="M28" s="2716"/>
      <c r="N28" s="2716"/>
      <c r="O28" s="2716"/>
      <c r="P28" s="3674"/>
      <c r="Q28" s="1352" t="str">
        <f t="shared" si="11"/>
        <v>楼层</v>
      </c>
      <c r="R28" s="705" t="s">
        <v>14</v>
      </c>
      <c r="S28" s="706">
        <f t="shared" ref="S28:S46" si="12">F28</f>
        <v>120</v>
      </c>
      <c r="T28" s="705" t="s">
        <v>14</v>
      </c>
      <c r="U28" s="706">
        <f t="shared" ref="U28:U46" si="13">H28</f>
        <v>120</v>
      </c>
      <c r="V28" s="705" t="s">
        <v>14</v>
      </c>
      <c r="W28" s="706">
        <f t="shared" ref="W28:W46" si="14">J28</f>
        <v>120</v>
      </c>
      <c r="X28" s="1355"/>
      <c r="Y28" s="3667"/>
      <c r="Z28" s="1356" t="str">
        <f t="shared" ref="Z28:Z46" si="15">Q28</f>
        <v>楼层</v>
      </c>
      <c r="AA28" s="1353">
        <f t="shared" si="3"/>
        <v>0.83333333333333337</v>
      </c>
      <c r="AB28" s="1353">
        <f t="shared" si="4"/>
        <v>0.83333333333333337</v>
      </c>
      <c r="AC28" s="1353">
        <f t="shared" si="5"/>
        <v>0.83333333333333337</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4"/>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f>'数据-基础表'!I13</f>
        <v>366.91</v>
      </c>
      <c r="D33" s="127">
        <v>100</v>
      </c>
      <c r="E33" s="381">
        <v>274</v>
      </c>
      <c r="F33" s="376">
        <f>LOOKUP(E33,103:103,104:104)-LOOKUP(C33,103:103,104:104)+100</f>
        <v>100</v>
      </c>
      <c r="G33" s="380">
        <v>62.96</v>
      </c>
      <c r="H33" s="127">
        <f>LOOKUP(G33,103:103,104:104)-LOOKUP(C33,103:103,104:104)+100</f>
        <v>100</v>
      </c>
      <c r="I33" s="380">
        <v>185.5</v>
      </c>
      <c r="J33" s="127">
        <f>LOOKUP(I33,103:103,104:104)-LOOKUP(C33,103:103,104:104)+100</f>
        <v>100</v>
      </c>
      <c r="K33" s="562"/>
      <c r="L33" s="2721"/>
      <c r="M33" s="2723"/>
      <c r="N33" s="2723"/>
      <c r="O33" s="2723"/>
      <c r="P33" s="3669"/>
      <c r="Q33" s="707" t="str">
        <f t="shared" si="11"/>
        <v>项目建筑规模</v>
      </c>
      <c r="R33" s="708" t="s">
        <v>14</v>
      </c>
      <c r="S33" s="709">
        <f t="shared" si="12"/>
        <v>100</v>
      </c>
      <c r="T33" s="708" t="s">
        <v>14</v>
      </c>
      <c r="U33" s="709">
        <f t="shared" si="13"/>
        <v>100</v>
      </c>
      <c r="V33" s="708" t="s">
        <v>14</v>
      </c>
      <c r="W33" s="709">
        <f t="shared" si="14"/>
        <v>100</v>
      </c>
      <c r="X33" s="710"/>
      <c r="Y33" s="3671"/>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v>0.77</v>
      </c>
      <c r="D36" s="386">
        <v>100</v>
      </c>
      <c r="E36" s="425">
        <v>0.77</v>
      </c>
      <c r="F36" s="412">
        <f>LOOKUP(E36,110:110,111:111)-LOOKUP(C36,110:110,111:111)+100</f>
        <v>100</v>
      </c>
      <c r="G36" s="425">
        <v>0.77</v>
      </c>
      <c r="H36" s="412">
        <f>LOOKUP(G36,110:110,111:111)-LOOKUP(C36,110:110,111:111)+100</f>
        <v>100</v>
      </c>
      <c r="I36" s="425">
        <v>0.77</v>
      </c>
      <c r="J36" s="386">
        <f>LOOKUP(I36,110:110,111:111)-LOOKUP(C36,110:110,111:111)+100</f>
        <v>100</v>
      </c>
      <c r="K36" s="561"/>
      <c r="L36" s="2722"/>
      <c r="M36" s="2716"/>
      <c r="N36" s="2716"/>
      <c r="O36" s="2716"/>
      <c r="P36" s="3669"/>
      <c r="Q36" s="1352" t="str">
        <f t="shared" si="11"/>
        <v>成新度</v>
      </c>
      <c r="R36" s="705" t="s">
        <v>14</v>
      </c>
      <c r="S36" s="706">
        <f t="shared" si="12"/>
        <v>100</v>
      </c>
      <c r="T36" s="705" t="s">
        <v>14</v>
      </c>
      <c r="U36" s="706">
        <f t="shared" si="13"/>
        <v>100</v>
      </c>
      <c r="V36" s="705" t="s">
        <v>14</v>
      </c>
      <c r="W36" s="706">
        <f t="shared" si="14"/>
        <v>100</v>
      </c>
      <c r="X36" s="1355"/>
      <c r="Y36" s="3671"/>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1708</v>
      </c>
      <c r="B47" s="431"/>
      <c r="C47" s="1154" t="s">
        <v>0</v>
      </c>
      <c r="D47" s="1155"/>
      <c r="E47" s="1156">
        <v>72997</v>
      </c>
      <c r="F47" s="1157"/>
      <c r="G47" s="1158">
        <v>89739</v>
      </c>
      <c r="H47" s="1159"/>
      <c r="I47" s="1156">
        <v>80862</v>
      </c>
      <c r="J47" s="1159"/>
      <c r="K47" s="714"/>
      <c r="L47" s="2724"/>
      <c r="M47" s="2725"/>
      <c r="N47" s="2716"/>
      <c r="O47" s="2725"/>
      <c r="P47" s="3664" t="str">
        <f>A47</f>
        <v>成交单价（元/平方米）</v>
      </c>
      <c r="Q47" s="3664"/>
      <c r="R47" s="3695">
        <f>E47</f>
        <v>72997</v>
      </c>
      <c r="S47" s="3695"/>
      <c r="T47" s="3695">
        <f>G47</f>
        <v>89739</v>
      </c>
      <c r="U47" s="3695"/>
      <c r="V47" s="3695">
        <f>I47</f>
        <v>80862</v>
      </c>
      <c r="W47" s="3695"/>
      <c r="X47" s="690"/>
      <c r="Y47" s="712"/>
      <c r="Z47" s="690"/>
      <c r="AA47" s="690"/>
      <c r="AB47" s="690"/>
      <c r="AC47" s="690"/>
    </row>
    <row r="48" spans="1:29" ht="15.75" thickBot="1">
      <c r="A48" s="437" t="s">
        <v>1793</v>
      </c>
      <c r="B48" s="438"/>
      <c r="C48" s="1160">
        <f>R49</f>
        <v>56388</v>
      </c>
      <c r="D48" s="2317" t="s">
        <v>2137</v>
      </c>
      <c r="E48" s="1161">
        <f>R48</f>
        <v>50692</v>
      </c>
      <c r="F48" s="2318"/>
      <c r="G48" s="1160">
        <f>T48</f>
        <v>62319</v>
      </c>
      <c r="H48" s="2318"/>
      <c r="I48" s="1161">
        <f>V48</f>
        <v>56154</v>
      </c>
      <c r="J48" s="2318"/>
      <c r="K48" s="2320">
        <f>F48+H48+J48</f>
        <v>0</v>
      </c>
      <c r="L48" s="2724"/>
      <c r="M48" s="2725"/>
      <c r="N48" s="2716"/>
      <c r="O48" s="2725"/>
      <c r="P48" s="3664" t="str">
        <f>A48</f>
        <v>比较价值（元/平方米）</v>
      </c>
      <c r="Q48" s="3664"/>
      <c r="R48" s="3665">
        <f>IF(F1="售价",ROUND(PRODUCT(R47,AA7:AA46),0),ROUND(PRODUCT(R47,AA7:AA46),1))</f>
        <v>50692</v>
      </c>
      <c r="S48" s="3665"/>
      <c r="T48" s="3665">
        <f>IF(F1="售价",ROUND(PRODUCT(T47,AB7:AB46),0),ROUND(PRODUCT(T47,AB7:AB46),1))</f>
        <v>62319</v>
      </c>
      <c r="U48" s="3665"/>
      <c r="V48" s="3665">
        <f>IF(F1="售价",ROUND(PRODUCT(V47,AC7:AC46),0),ROUND(PRODUCT(V47,AC7:AC46),1))</f>
        <v>56154</v>
      </c>
      <c r="W48" s="3665"/>
      <c r="X48" s="690"/>
      <c r="Y48" s="690"/>
      <c r="Z48" s="690"/>
      <c r="AA48" s="690"/>
      <c r="AB48" s="690"/>
      <c r="AC48" s="690"/>
    </row>
    <row r="49" spans="1:29" ht="15.75" thickBot="1">
      <c r="A49" s="441" t="s">
        <v>1794</v>
      </c>
      <c r="B49" s="442"/>
      <c r="C49" s="1163">
        <f>R49</f>
        <v>56388</v>
      </c>
      <c r="D49" s="1163"/>
      <c r="E49" s="1163"/>
      <c r="F49" s="1163"/>
      <c r="G49" s="1163"/>
      <c r="H49" s="1163"/>
      <c r="I49" s="1163"/>
      <c r="J49" s="1163"/>
      <c r="K49" s="715"/>
      <c r="L49" s="2724"/>
      <c r="M49" s="2725"/>
      <c r="N49" s="2716"/>
      <c r="O49" s="2725"/>
      <c r="P49" s="3661" t="str">
        <f>A49</f>
        <v>估价对象XX用房的比较价值（楼面单价，元/平方米）</v>
      </c>
      <c r="Q49" s="3662"/>
      <c r="R49" s="3663">
        <f>IF(F1="售价",ROUND(IF(D48="简单平均",AVERAGE(R48:V48),R48*F48+T48*H48+V48*J48),0),ROUND(IF(D48="简单平均",AVERAGE(R48:V48),R48*F48+T48*H48+V48*J48),1))</f>
        <v>56388</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0.44001025802888027</v>
      </c>
      <c r="F52" s="449" t="str">
        <f>IF(OR(E52&gt;=0.3,E52&lt;=-0.3),"超过30%","")</f>
        <v>超过30%</v>
      </c>
      <c r="G52" s="448">
        <f>IF(G47&lt;G48,G48/G47-1,G47/G48-1)</f>
        <v>0.43999422327059157</v>
      </c>
      <c r="H52" s="449" t="str">
        <f>IF(OR(G52&gt;=0.3,G52&lt;=-0.3),"超过30%","")</f>
        <v>超过30%</v>
      </c>
      <c r="I52" s="448">
        <f>IF(I47&lt;I48,I48/I47-1,I47/I48-1)</f>
        <v>0.44000427396089337</v>
      </c>
      <c r="J52" s="449" t="str">
        <f>IF(OR(I52&gt;=0.3,I52&lt;=-0.3),"超过30%","")</f>
        <v>超过30%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0.22936558036771082</v>
      </c>
      <c r="F53" s="449" t="str">
        <f>IF(OR(E53&gt;=0.2,E53&lt;=-0.2),"超过20%","")</f>
        <v>超过20%</v>
      </c>
      <c r="G53" s="448">
        <f>IF(G48&lt;I48,I48/G48-1,G48/I48-1)</f>
        <v>0.10978737044556053</v>
      </c>
      <c r="H53" s="449" t="str">
        <f>IF(OR(G53&gt;=0.2,G53&lt;=-0.2),"超过20%","")</f>
        <v/>
      </c>
      <c r="I53" s="448">
        <f>IF(I48&lt;E48,E48/I48-1,I48/E48-1)</f>
        <v>0.10774875720034727</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0.22935189117360988</v>
      </c>
      <c r="F54" s="449" t="str">
        <f>IF(OR(E54&gt;=0.3,E54&lt;=-0.3),"超过30%","")</f>
        <v/>
      </c>
      <c r="G54" s="448">
        <f>IF(G47&lt;I47,I47/G47-1,G47/I47-1)</f>
        <v>0.10977962454552204</v>
      </c>
      <c r="H54" s="449" t="str">
        <f>IF(OR(G54&gt;=0.3,G54&lt;=-0.3),"超过30%","")</f>
        <v/>
      </c>
      <c r="I54" s="448">
        <f>IF(I47&lt;E47,E47/I47-1,I47/E47-1)</f>
        <v>0.10774415386933711</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791" t="s">
        <v>3414</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120</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3415</v>
      </c>
      <c r="D92" s="503" t="s">
        <v>3416</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120</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629.74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17" t="s">
        <v>1771</v>
      </c>
      <c r="S4" s="3718"/>
      <c r="T4" s="3717" t="s">
        <v>1772</v>
      </c>
      <c r="U4" s="3718"/>
      <c r="V4" s="3719" t="s">
        <v>1773</v>
      </c>
      <c r="W4" s="3719"/>
      <c r="X4" s="1958"/>
      <c r="Y4" s="3717" t="s">
        <v>1775</v>
      </c>
      <c r="Z4" s="3718"/>
      <c r="AA4" s="3721" t="s">
        <v>1771</v>
      </c>
      <c r="AB4" s="3721" t="s">
        <v>1772</v>
      </c>
      <c r="AC4" s="3710" t="s">
        <v>1773</v>
      </c>
    </row>
    <row r="5" spans="1:29" ht="15">
      <c r="A5" s="358"/>
      <c r="B5" s="359"/>
      <c r="C5" s="3698" t="s">
        <v>1673</v>
      </c>
      <c r="D5" s="3699"/>
      <c r="E5" s="3705" t="s">
        <v>1674</v>
      </c>
      <c r="F5" s="3706"/>
      <c r="G5" s="3698" t="s">
        <v>1675</v>
      </c>
      <c r="H5" s="3699"/>
      <c r="I5" s="3698" t="s">
        <v>1676</v>
      </c>
      <c r="J5" s="3699"/>
      <c r="K5" s="559"/>
      <c r="L5" s="2715"/>
      <c r="M5" s="2716"/>
      <c r="N5" s="2716"/>
      <c r="O5" s="2716"/>
      <c r="P5" s="3715"/>
      <c r="Q5" s="3686"/>
      <c r="R5" s="3691"/>
      <c r="S5" s="3692"/>
      <c r="T5" s="3691"/>
      <c r="U5" s="3692"/>
      <c r="V5" s="3695"/>
      <c r="W5" s="3695"/>
      <c r="X5" s="1355"/>
      <c r="Y5" s="3691"/>
      <c r="Z5" s="3692"/>
      <c r="AA5" s="3677"/>
      <c r="AB5" s="3677"/>
      <c r="AC5" s="3711"/>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716"/>
      <c r="Q6" s="3688"/>
      <c r="R6" s="3691"/>
      <c r="S6" s="3692"/>
      <c r="T6" s="3693"/>
      <c r="U6" s="3694"/>
      <c r="V6" s="3695"/>
      <c r="W6" s="3695"/>
      <c r="X6" s="1355"/>
      <c r="Y6" s="3693"/>
      <c r="Z6" s="3694"/>
      <c r="AA6" s="3678"/>
      <c r="AB6" s="3678"/>
      <c r="AC6" s="3712"/>
    </row>
    <row r="7" spans="1:29" s="108" customFormat="1" ht="15.75" thickBot="1">
      <c r="A7" s="362" t="s">
        <v>1679</v>
      </c>
      <c r="B7" s="363"/>
      <c r="C7" s="364">
        <f>'数据-取费表'!B2</f>
        <v>45427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5"/>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3"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4"/>
      <c r="Q22" s="1352"/>
      <c r="R22" s="705"/>
      <c r="S22" s="706"/>
      <c r="T22" s="705"/>
      <c r="U22" s="706"/>
      <c r="V22" s="705"/>
      <c r="W22" s="706"/>
      <c r="X22" s="1355"/>
      <c r="Y22" s="366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4"/>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4"/>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4"/>
      <c r="Q26" s="1352"/>
      <c r="R26" s="705"/>
      <c r="S26" s="706"/>
      <c r="T26" s="705"/>
      <c r="U26" s="706"/>
      <c r="V26" s="705"/>
      <c r="W26" s="706"/>
      <c r="X26" s="1355"/>
      <c r="Y26" s="366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4"/>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4"/>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4"/>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4"/>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5" t="str">
        <f>A48</f>
        <v>成交单价（元/平方米）</v>
      </c>
      <c r="Q48" s="3664"/>
      <c r="R48" s="3665">
        <f>E48</f>
        <v>0</v>
      </c>
      <c r="S48" s="3665"/>
      <c r="T48" s="3665">
        <f>G48</f>
        <v>0</v>
      </c>
      <c r="U48" s="3665"/>
      <c r="V48" s="3665">
        <f>I48</f>
        <v>0</v>
      </c>
      <c r="W48" s="3665"/>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75"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629.74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913"/>
      <c r="M5" s="914"/>
      <c r="N5" s="914"/>
      <c r="O5" s="914"/>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913"/>
      <c r="M6" s="914"/>
      <c r="N6" s="914"/>
      <c r="O6" s="914"/>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45427</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665">
        <f>E41</f>
        <v>0</v>
      </c>
      <c r="S41" s="3665"/>
      <c r="T41" s="3665">
        <f>G41</f>
        <v>0</v>
      </c>
      <c r="U41" s="3665"/>
      <c r="V41" s="3665">
        <f>I41</f>
        <v>0</v>
      </c>
      <c r="W41" s="3665"/>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估价对象为北京市房地产，为所有。根据《国有土地使用证》[]，估价对象（分摊）出让国有建设用地使用权面积为0平方米，建筑面积为629.74平方米。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估价对象为北京市房地产,属开发建设的，该项目尚在开发建设中。根据《国有土地使用证》[]，估价对象（分摊）出让国有建设用地使用权面积为0平方米，规划建筑面积为629.74平方米。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2024年5月15日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45427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7"/>
      <c r="Q15" s="1352"/>
      <c r="R15" s="705"/>
      <c r="S15" s="706"/>
      <c r="T15" s="705"/>
      <c r="U15" s="706"/>
      <c r="V15" s="705"/>
      <c r="W15" s="706"/>
      <c r="X15" s="1355"/>
      <c r="Y15" s="366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7"/>
      <c r="Q17" s="1352"/>
      <c r="R17" s="705"/>
      <c r="S17" s="706"/>
      <c r="T17" s="705"/>
      <c r="U17" s="706"/>
      <c r="V17" s="705"/>
      <c r="W17" s="706"/>
      <c r="X17" s="1355"/>
      <c r="Y17" s="366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7"/>
      <c r="Q19" s="1352"/>
      <c r="R19" s="705"/>
      <c r="S19" s="706"/>
      <c r="T19" s="705"/>
      <c r="U19" s="706"/>
      <c r="V19" s="705"/>
      <c r="W19" s="706"/>
      <c r="X19" s="1355"/>
      <c r="Y19" s="366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64" t="str">
        <f>A37</f>
        <v>成交单价</v>
      </c>
      <c r="Q37" s="3664"/>
      <c r="R37" s="3665">
        <f>E37</f>
        <v>0</v>
      </c>
      <c r="S37" s="3665"/>
      <c r="T37" s="3665">
        <f>G37</f>
        <v>0</v>
      </c>
      <c r="U37" s="3665"/>
      <c r="V37" s="3665">
        <f>I37</f>
        <v>0</v>
      </c>
      <c r="W37" s="3665"/>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1" t="str">
        <f>A39</f>
        <v>估价对象XX用房的比较价值（楼面单价，元/平方米）</v>
      </c>
      <c r="Q39" s="3662"/>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45427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7"/>
      <c r="Q15" s="1352"/>
      <c r="R15" s="705"/>
      <c r="S15" s="706"/>
      <c r="T15" s="705"/>
      <c r="U15" s="706"/>
      <c r="V15" s="705"/>
      <c r="W15" s="706"/>
      <c r="X15" s="1355"/>
      <c r="Y15" s="366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7"/>
      <c r="Q17" s="1352"/>
      <c r="R17" s="705"/>
      <c r="S17" s="706"/>
      <c r="T17" s="705"/>
      <c r="U17" s="706"/>
      <c r="V17" s="705"/>
      <c r="W17" s="706"/>
      <c r="X17" s="1355"/>
      <c r="Y17" s="366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7"/>
      <c r="Q19" s="1352"/>
      <c r="R19" s="705"/>
      <c r="S19" s="706"/>
      <c r="T19" s="705"/>
      <c r="U19" s="706"/>
      <c r="V19" s="705"/>
      <c r="W19" s="706"/>
      <c r="X19" s="1355"/>
      <c r="Y19" s="366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4" t="str">
        <f>A35</f>
        <v>成交单价（元/平方米）</v>
      </c>
      <c r="Q35" s="3664"/>
      <c r="R35" s="3665">
        <f>E35</f>
        <v>0</v>
      </c>
      <c r="S35" s="3665"/>
      <c r="T35" s="3665">
        <f>G35</f>
        <v>0</v>
      </c>
      <c r="U35" s="3665"/>
      <c r="V35" s="3665">
        <f>I35</f>
        <v>0</v>
      </c>
      <c r="W35" s="3665"/>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1" t="str">
        <f>A37</f>
        <v>估价对象XX用房的比较价值（楼面单价，元/平方米）</v>
      </c>
      <c r="Q37" s="3662"/>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30"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30"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30" s="108" customFormat="1" ht="15.75" thickBot="1">
      <c r="A7" s="362" t="s">
        <v>1679</v>
      </c>
      <c r="B7" s="363"/>
      <c r="C7" s="364">
        <f>'数据-取费表'!B2</f>
        <v>45427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122</v>
      </c>
      <c r="G10" s="414"/>
      <c r="H10" s="127">
        <f>ROUND(100/'数据-取费表'!G16,0)</f>
        <v>122</v>
      </c>
      <c r="I10" s="414"/>
      <c r="J10" s="127">
        <f>ROUND(100/'数据-取费表'!G16,0)</f>
        <v>122</v>
      </c>
      <c r="K10" s="620"/>
      <c r="L10" s="2719"/>
      <c r="M10" s="2720"/>
      <c r="N10" s="2720"/>
      <c r="O10" s="2773"/>
      <c r="P10" s="3664"/>
      <c r="Q10" s="1343" t="str">
        <f t="shared" si="6"/>
        <v>土地使用年限（年）</v>
      </c>
      <c r="R10" s="701" t="s">
        <v>14</v>
      </c>
      <c r="S10" s="702">
        <f t="shared" si="0"/>
        <v>122</v>
      </c>
      <c r="T10" s="701" t="s">
        <v>14</v>
      </c>
      <c r="U10" s="702">
        <f t="shared" si="1"/>
        <v>122</v>
      </c>
      <c r="V10" s="701" t="s">
        <v>14</v>
      </c>
      <c r="W10" s="702">
        <f t="shared" si="2"/>
        <v>122</v>
      </c>
      <c r="X10" s="703"/>
      <c r="Y10" s="3539"/>
      <c r="Z10" s="52" t="str">
        <f t="shared" si="7"/>
        <v>土地使用年限（年）</v>
      </c>
      <c r="AA10" s="704">
        <f t="shared" si="3"/>
        <v>0.81967213114754101</v>
      </c>
      <c r="AB10" s="704">
        <f t="shared" si="4"/>
        <v>0.81967213114754101</v>
      </c>
      <c r="AC10" s="704">
        <f t="shared" si="5"/>
        <v>0.81967213114754101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4"/>
      <c r="Q12" s="1343" t="str">
        <f t="shared" si="6"/>
        <v>配建</v>
      </c>
      <c r="R12" s="701" t="s">
        <v>14</v>
      </c>
      <c r="S12" s="702">
        <f t="shared" si="0"/>
        <v>100</v>
      </c>
      <c r="T12" s="701" t="s">
        <v>14</v>
      </c>
      <c r="U12" s="702">
        <f t="shared" si="1"/>
        <v>100</v>
      </c>
      <c r="V12" s="701" t="s">
        <v>14</v>
      </c>
      <c r="W12" s="702">
        <f t="shared" si="2"/>
        <v>100</v>
      </c>
      <c r="X12" s="703"/>
      <c r="Y12" s="35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7"/>
      <c r="Q20" s="1352"/>
      <c r="R20" s="705"/>
      <c r="S20" s="706"/>
      <c r="T20" s="705"/>
      <c r="U20" s="706"/>
      <c r="V20" s="705"/>
      <c r="W20" s="706"/>
      <c r="X20" s="1355"/>
      <c r="Y20" s="366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7"/>
      <c r="Q24" s="1352"/>
      <c r="R24" s="705"/>
      <c r="S24" s="706"/>
      <c r="T24" s="705"/>
      <c r="U24" s="706"/>
      <c r="V24" s="705"/>
      <c r="W24" s="706"/>
      <c r="X24" s="1355"/>
      <c r="Y24" s="366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7"/>
      <c r="Q26" s="1352"/>
      <c r="R26" s="705"/>
      <c r="S26" s="706"/>
      <c r="T26" s="705"/>
      <c r="U26" s="706"/>
      <c r="V26" s="705"/>
      <c r="W26" s="706"/>
      <c r="X26" s="1355"/>
      <c r="Y26" s="366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7"/>
      <c r="Q28" s="1343"/>
      <c r="R28" s="701"/>
      <c r="S28" s="702"/>
      <c r="T28" s="701"/>
      <c r="U28" s="702"/>
      <c r="V28" s="701"/>
      <c r="W28" s="702"/>
      <c r="X28" s="703"/>
      <c r="Y28" s="366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4" t="str">
        <f>A46</f>
        <v>成交单价</v>
      </c>
      <c r="Q46" s="3664"/>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64" t="str">
        <f>A47</f>
        <v>比较价值（元/平方米）</v>
      </c>
      <c r="Q47" s="3664"/>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1" t="str">
        <f>A48</f>
        <v>估价对象XX用房的比较价值（楼面单价，元/平方米）</v>
      </c>
      <c r="Q48" s="3662"/>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629.74</v>
      </c>
      <c r="F56" s="886" t="e">
        <f t="shared" ref="F56:F64" si="15">ROUND(B56*E56/10000,0)</f>
        <v>#DIV/0!</v>
      </c>
      <c r="G56" s="3675"/>
      <c r="H56" s="366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三级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三级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三级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629.74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45427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122</v>
      </c>
      <c r="G10" s="383"/>
      <c r="H10" s="127">
        <f>ROUND(100/'数据-取费表'!G16,0)</f>
        <v>122</v>
      </c>
      <c r="I10" s="383"/>
      <c r="J10" s="127">
        <f>ROUND(100/'数据-取费表'!G16,0)</f>
        <v>122</v>
      </c>
      <c r="K10" s="620"/>
      <c r="L10" s="2719"/>
      <c r="M10" s="2720"/>
      <c r="N10" s="2720"/>
      <c r="O10" s="2773"/>
      <c r="P10" s="3664"/>
      <c r="Q10" s="1343" t="str">
        <f t="shared" si="6"/>
        <v>土地使用年限（年）</v>
      </c>
      <c r="R10" s="701" t="s">
        <v>14</v>
      </c>
      <c r="S10" s="702">
        <f t="shared" si="0"/>
        <v>122</v>
      </c>
      <c r="T10" s="701" t="s">
        <v>14</v>
      </c>
      <c r="U10" s="702">
        <f t="shared" si="1"/>
        <v>122</v>
      </c>
      <c r="V10" s="701" t="s">
        <v>14</v>
      </c>
      <c r="W10" s="702">
        <f t="shared" si="2"/>
        <v>122</v>
      </c>
      <c r="X10" s="703"/>
      <c r="Y10" s="3539"/>
      <c r="Z10" s="52" t="str">
        <f t="shared" si="7"/>
        <v>土地使用年限（年）</v>
      </c>
      <c r="AA10" s="704">
        <f t="shared" si="3"/>
        <v>0.81967213114754101</v>
      </c>
      <c r="AB10" s="704">
        <f t="shared" si="4"/>
        <v>0.81967213114754101</v>
      </c>
      <c r="AC10" s="704">
        <f t="shared" si="5"/>
        <v>0.81967213114754101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7"/>
      <c r="Q20" s="1352"/>
      <c r="R20" s="705"/>
      <c r="S20" s="706"/>
      <c r="T20" s="705"/>
      <c r="U20" s="706"/>
      <c r="V20" s="705"/>
      <c r="W20" s="706"/>
      <c r="X20" s="1355"/>
      <c r="Y20" s="366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7"/>
      <c r="Q24" s="1343"/>
      <c r="R24" s="701"/>
      <c r="S24" s="702"/>
      <c r="T24" s="701"/>
      <c r="U24" s="702"/>
      <c r="V24" s="701"/>
      <c r="W24" s="702"/>
      <c r="X24" s="703"/>
      <c r="Y24" s="366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4" t="str">
        <f>A41</f>
        <v>成交单价</v>
      </c>
      <c r="Q41" s="3664"/>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64" t="str">
        <f>A42</f>
        <v>比较价值（元/平方米）</v>
      </c>
      <c r="Q42" s="3664"/>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1" t="str">
        <f>A43</f>
        <v>估价对象XX用房的比较价值（楼面单价，元/平方米）</v>
      </c>
      <c r="Q43" s="3662"/>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629.74</v>
      </c>
      <c r="F51" s="639" t="e">
        <f t="shared" ref="F51:F60" si="15">ROUND(B51*E51/10000,0)</f>
        <v>#DIV/0!</v>
      </c>
      <c r="G51" s="3675"/>
      <c r="H51" s="366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三级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三级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三级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N35" sqref="N3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0(含)-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2682</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42589</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629.74</v>
      </c>
      <c r="C22" s="3731" t="s">
        <v>27</v>
      </c>
      <c r="D22" s="3732"/>
      <c r="E22" s="3732"/>
      <c r="F22" s="3732"/>
      <c r="G22" s="3732"/>
      <c r="H22" s="3732"/>
      <c r="I22" s="3732"/>
      <c r="J22" s="3732"/>
      <c r="K22" s="3732"/>
      <c r="L22" s="3732"/>
      <c r="M22" s="3732"/>
      <c r="N22" s="3732"/>
      <c r="O22" s="3732"/>
      <c r="P22" s="3732"/>
      <c r="Q22" s="3733"/>
      <c r="R22" s="663">
        <f ca="1">ROUND(S22*10000/B22,0)</f>
        <v>42589</v>
      </c>
      <c r="S22" s="21">
        <f ca="1">SUM(S24:S10000)</f>
        <v>2682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f>'数据-基础表'!C13</f>
        <v>201</v>
      </c>
      <c r="B24" s="665">
        <f>'数据-基础表'!I13</f>
        <v>366.91</v>
      </c>
      <c r="C24" s="2810">
        <v>1</v>
      </c>
      <c r="D24" s="2811"/>
      <c r="E24" s="2810">
        <v>1</v>
      </c>
      <c r="F24" s="2811"/>
      <c r="G24" s="2810">
        <v>1</v>
      </c>
      <c r="H24" s="2811"/>
      <c r="I24" s="2810">
        <v>1</v>
      </c>
      <c r="J24" s="2811"/>
      <c r="K24" s="2810">
        <v>1</v>
      </c>
      <c r="L24" s="2811"/>
      <c r="M24" s="2810">
        <v>1</v>
      </c>
      <c r="N24" s="2811"/>
      <c r="O24" s="2810">
        <v>1</v>
      </c>
      <c r="P24" s="2811"/>
      <c r="Q24" s="2810">
        <v>1</v>
      </c>
      <c r="R24" s="668">
        <f ca="1">结果表!G20</f>
        <v>42586</v>
      </c>
      <c r="S24" s="666">
        <f t="shared" ref="S24:S54" ca="1" si="11">ROUND(R24*B24/10000,0)</f>
        <v>1563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f>'数据-基础表'!C14</f>
        <v>202</v>
      </c>
      <c r="B25" s="665">
        <f>'数据-基础表'!I14</f>
        <v>262.83</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42586</v>
      </c>
      <c r="S25" s="316">
        <f t="shared" ca="1" si="11"/>
        <v>1119</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890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890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70" zoomScaleNormal="80" zoomScaleSheetLayoutView="70" workbookViewId="0">
      <selection activeCell="U48" sqref="U4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890</v>
      </c>
      <c r="C2" s="1999" t="s">
        <v>1935</v>
      </c>
      <c r="D2" s="2000" t="s">
        <v>1936</v>
      </c>
      <c r="E2" s="3422"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Ⅲ—22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30767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2442</v>
      </c>
      <c r="F3" s="2004" t="s">
        <v>3397</v>
      </c>
      <c r="G3" s="752">
        <f>IF(F3="宗地容积率",'数据-汇总表'!I4,IF(F3="估价对象容积率",'数据-汇总表'!I6,'数据-汇总表'!I7))</f>
        <v>0</v>
      </c>
      <c r="H3" s="170" t="s">
        <v>1943</v>
      </c>
      <c r="I3" s="775">
        <v>2</v>
      </c>
      <c r="J3" s="2002" t="s">
        <v>1944</v>
      </c>
      <c r="K3" s="1119"/>
      <c r="L3" s="2003" t="s">
        <v>1945</v>
      </c>
      <c r="M3" s="864">
        <f>SUMPRODUCT((区片价!B30:B54=I2)*(区片价!C3:G3=E2)*(区片价!C30:G54))</f>
        <v>23000</v>
      </c>
      <c r="N3" s="866">
        <f>SUMPRODUCT((因素修正幅度!B30:B54=I2)*(因素修正幅度!C3:G3=E2)*(因素修正幅度!C30:G54))</f>
        <v>9.9000000000000005E-2</v>
      </c>
      <c r="O3" s="1119"/>
      <c r="P3" s="1119"/>
      <c r="Q3" s="1119"/>
      <c r="R3" s="1212">
        <v>2</v>
      </c>
      <c r="S3" s="3361">
        <f>ROUND(SUMPRODUCT((B106:B110=R3)*(C105:N105=G2)*(C106:N110)),4)</f>
        <v>1.1838</v>
      </c>
      <c r="T3" s="3361">
        <f t="shared" si="0"/>
        <v>24251</v>
      </c>
      <c r="U3" s="1213">
        <f>'数据-基础表'!I13</f>
        <v>366.91</v>
      </c>
      <c r="V3" s="3361">
        <f t="shared" ref="V3:V16" si="1">ROUND(T3*U3/10000,0)</f>
        <v>890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20496</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22964</v>
      </c>
      <c r="D5" s="1339">
        <f>ROUND(C6*C17+C20,0)</f>
        <v>22964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18076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23000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17372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0</v>
      </c>
      <c r="AA7" s="1216"/>
      <c r="AB7" s="1216"/>
      <c r="AC7" s="1217"/>
      <c r="AD7" s="1218"/>
      <c r="AE7" s="1218"/>
      <c r="AF7" s="1218"/>
      <c r="AG7" s="1218"/>
      <c r="AH7" s="1218"/>
      <c r="AI7" s="1218"/>
      <c r="AJ7" s="1219"/>
    </row>
    <row r="8" spans="1:36" ht="25.5">
      <c r="A8" s="3299"/>
      <c r="B8" s="170" t="s">
        <v>1957</v>
      </c>
      <c r="C8" s="2026" t="s">
        <v>3398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3257</v>
      </c>
      <c r="B20" s="167" t="s">
        <v>1994</v>
      </c>
      <c r="C20" s="3325">
        <f>ROUND(IF(F21="与级别开发程度一致",0,(G21-E21)/C21),0)</f>
        <v>-36</v>
      </c>
      <c r="D20" s="3341" t="s">
        <v>1998</v>
      </c>
      <c r="E20" s="3342"/>
      <c r="F20" s="3754" t="s">
        <v>1995</v>
      </c>
      <c r="G20" s="3755"/>
      <c r="H20" s="3326" t="s">
        <v>3400</v>
      </c>
      <c r="I20" s="3326" t="s">
        <v>3401</v>
      </c>
      <c r="J20" s="3327" t="s">
        <v>3402</v>
      </c>
      <c r="K20" s="2047" t="s">
        <v>3403</v>
      </c>
      <c r="L20" s="2047" t="s">
        <v>3404</v>
      </c>
      <c r="M20" s="2047" t="s">
        <v>3405</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3399</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4" t="s">
        <v>2002</v>
      </c>
      <c r="E23" s="761">
        <v>44197</v>
      </c>
      <c r="F23" s="2054" t="s">
        <v>2003</v>
      </c>
      <c r="G23" s="762">
        <f>'数据-取费表'!B2</f>
        <v>45427</v>
      </c>
      <c r="H23" s="3343" t="s">
        <v>3259</v>
      </c>
      <c r="I23" s="3344" t="str">
        <f>IF(H23="季度增幅（自定义）",SUMIF(N25:N28,E2,O25:O28),"")</f>
        <v/>
      </c>
      <c r="J23" s="3446" t="s">
        <v>3258</v>
      </c>
      <c r="K23" s="1125"/>
      <c r="L23" s="2055" t="s">
        <v>2004</v>
      </c>
      <c r="M23" s="1328">
        <f>ROUND(SUMIF(地价!B2:G2,E2,地价!B16:G16),0)</f>
        <v>350</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0.81979999999999997</v>
      </c>
      <c r="D24" s="2060" t="s">
        <v>2007</v>
      </c>
      <c r="E24" s="1335">
        <f>存贷款利率!E24/100</f>
        <v>4.3499999999999997E-2</v>
      </c>
      <c r="F24" s="2060" t="s">
        <v>1999</v>
      </c>
      <c r="G24" s="768">
        <f>SUMIF(M30:Q30,E2,M33:Q33)</f>
        <v>5.5E-2</v>
      </c>
      <c r="H24" s="2060" t="s">
        <v>2008</v>
      </c>
      <c r="I24" s="769">
        <f>SUMIF('数据-取费表'!C6:C15,E2,'数据-取费表'!F6:F15)/COUNTIF('数据-取费表'!C6:C15,E2)</f>
        <v>24.01</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3406</v>
      </c>
      <c r="C25" s="771">
        <f>IF(B25="容积率修正",IF(G3&lt;10,D26,J26),C27)</f>
        <v>1.1838</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1.1838</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1.0390999999999999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890</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24251</v>
      </c>
      <c r="D33" s="2098"/>
      <c r="E33" s="773">
        <f>ROUND(C33*D33/10000,0)</f>
        <v>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12291</v>
      </c>
      <c r="D37" s="2098"/>
      <c r="E37" s="171">
        <f>ROUND(C37*D37/10000,0)</f>
        <v>0</v>
      </c>
      <c r="F37" s="171">
        <f>SUMIF(修正!A57:A68,G2,修正!B57:B68)</f>
        <v>0.6</v>
      </c>
      <c r="G37" s="171">
        <f>ROUND(IF(E2="工业",C37*$M$42,C37*$M$41),0)</f>
        <v>3073</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6146</v>
      </c>
      <c r="D38" s="2098"/>
      <c r="E38" s="171">
        <f t="shared" ref="E38:E42" si="4">ROUND(C38*D38/10000,0)</f>
        <v>0</v>
      </c>
      <c r="F38" s="171">
        <f>SUMIF(修正!A57:A68,G2,修正!C57:C68)</f>
        <v>0.3</v>
      </c>
      <c r="G38" s="171">
        <f>ROUND(IF(E2="工业",C38*$M$42,C38*$M$41),0)</f>
        <v>1537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3262</v>
      </c>
      <c r="C39" s="175">
        <f>ROUND(D5*C22*C23*C24*C28*F39,0)</f>
        <v>5121</v>
      </c>
      <c r="D39" s="2098"/>
      <c r="E39" s="171">
        <f t="shared" si="4"/>
        <v>0</v>
      </c>
      <c r="F39" s="171">
        <f>SUMIF(修正!A57:A68,G2,修正!D57:D68)</f>
        <v>0.25</v>
      </c>
      <c r="G39" s="171">
        <f>ROUND(IF(E2="工业",C39*$M$42,C39*$M$41),0)</f>
        <v>1280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5121</v>
      </c>
      <c r="D40" s="2098"/>
      <c r="E40" s="171">
        <f t="shared" si="4"/>
        <v>0</v>
      </c>
      <c r="F40" s="175">
        <f>SUMIF(修正!A57:A68,G2,修正!E57:E68)</f>
        <v>0.25</v>
      </c>
      <c r="G40" s="171">
        <f>ROUND(IF(E2="工业",C40*$M$42,C40*$M$41),0)</f>
        <v>1280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1.0390999999999999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3422</v>
      </c>
      <c r="D50" s="1065">
        <f t="shared" ref="D50:D58" si="7">SUMIF($J$49:$N$49,C50,J50:N50)</f>
        <v>1.4800000000000001E-2</v>
      </c>
      <c r="E50" s="744">
        <f>ROUND(SUM(D50:D58),4)</f>
        <v>3.9100000000000003E-2</v>
      </c>
      <c r="F50" s="1814">
        <f>IF(E2="商业",SUMIF(L1:L12,G2,N1:N12),"——")</f>
        <v>9.9000000000000005E-2</v>
      </c>
      <c r="G50" s="1063">
        <v>1.4800000000000001E-2</v>
      </c>
      <c r="H50" s="1066">
        <f t="shared" ref="H50:H58" si="8">IFERROR(ROUNDDOWN($F$50*I50/2,4),"——")</f>
        <v>1.4800000000000001E-2</v>
      </c>
      <c r="I50" s="3367">
        <v>0.3</v>
      </c>
      <c r="J50" s="1064">
        <f t="shared" ref="J50:J58" si="9">K50+$G50</f>
        <v>2.9600000000000001E-2</v>
      </c>
      <c r="K50" s="1064">
        <f t="shared" ref="K50:K58" si="10">$L50+$G50</f>
        <v>1.4800000000000001E-2</v>
      </c>
      <c r="L50" s="1064">
        <v>0</v>
      </c>
      <c r="M50" s="1064">
        <f t="shared" ref="M50:N58" si="11">L50-$G50</f>
        <v>-1.4800000000000001E-2</v>
      </c>
      <c r="N50" s="1064">
        <f t="shared" si="11"/>
        <v>-2.9600000000000001E-2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3422</v>
      </c>
      <c r="D51" s="1065">
        <f t="shared" si="7"/>
        <v>1.0800000000000001E-2</v>
      </c>
      <c r="E51" s="745"/>
      <c r="F51" s="1814"/>
      <c r="G51" s="1063">
        <v>1.0800000000000001E-2</v>
      </c>
      <c r="H51" s="1066">
        <f t="shared" si="8"/>
        <v>1.0800000000000001E-2</v>
      </c>
      <c r="I51" s="3367">
        <v>0.22</v>
      </c>
      <c r="J51" s="1064">
        <f t="shared" si="9"/>
        <v>2.1600000000000001E-2</v>
      </c>
      <c r="K51" s="1064">
        <f t="shared" si="10"/>
        <v>1.0800000000000001E-2</v>
      </c>
      <c r="L51" s="1064">
        <v>0</v>
      </c>
      <c r="M51" s="1064">
        <f t="shared" si="11"/>
        <v>-1.0800000000000001E-2</v>
      </c>
      <c r="N51" s="1064">
        <f t="shared" si="11"/>
        <v>-2.1600000000000001E-2</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t="s">
        <v>3423</v>
      </c>
      <c r="D52" s="1065">
        <f t="shared" si="7"/>
        <v>0</v>
      </c>
      <c r="E52" s="745"/>
      <c r="F52" s="1814"/>
      <c r="G52" s="1063">
        <v>5.8999999999999999E-3</v>
      </c>
      <c r="H52" s="1066">
        <f t="shared" si="8"/>
        <v>5.8999999999999999E-3</v>
      </c>
      <c r="I52" s="3367">
        <v>0.12</v>
      </c>
      <c r="J52" s="1064">
        <f t="shared" si="9"/>
        <v>1.18E-2</v>
      </c>
      <c r="K52" s="1064">
        <f t="shared" si="10"/>
        <v>5.8999999999999999E-3</v>
      </c>
      <c r="L52" s="1064">
        <v>0</v>
      </c>
      <c r="M52" s="1064">
        <f t="shared" si="11"/>
        <v>-5.8999999999999999E-3</v>
      </c>
      <c r="N52" s="1064">
        <f t="shared" si="11"/>
        <v>-1.18E-2</v>
      </c>
      <c r="AA52" s="1120"/>
      <c r="AB52" s="1120"/>
      <c r="AC52" s="1120"/>
      <c r="AD52" s="1120"/>
      <c r="AE52" s="1120"/>
      <c r="AF52" s="1120"/>
      <c r="AG52" s="1120"/>
      <c r="AH52" s="1120"/>
      <c r="AI52" s="1120"/>
      <c r="AJ52" s="1120"/>
      <c r="AK52" s="1120"/>
    </row>
    <row r="53" spans="1:37" s="1119" customFormat="1" ht="36.75">
      <c r="A53" s="2130" t="s">
        <v>2054</v>
      </c>
      <c r="B53" s="2135" t="s">
        <v>2055</v>
      </c>
      <c r="C53" s="2044" t="s">
        <v>3422</v>
      </c>
      <c r="D53" s="1065">
        <f t="shared" si="7"/>
        <v>2.3999999999999998E-3</v>
      </c>
      <c r="E53" s="745"/>
      <c r="F53" s="1814"/>
      <c r="G53" s="1063">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3423</v>
      </c>
      <c r="D54" s="1065">
        <f t="shared" si="7"/>
        <v>0</v>
      </c>
      <c r="E54" s="745"/>
      <c r="F54" s="1814"/>
      <c r="G54" s="1063">
        <v>3.8999999999999998E-3</v>
      </c>
      <c r="H54" s="1066">
        <f t="shared" si="8"/>
        <v>3.8999999999999998E-3</v>
      </c>
      <c r="I54" s="3367">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3422</v>
      </c>
      <c r="D55" s="1065">
        <f t="shared" si="7"/>
        <v>2.3999999999999998E-3</v>
      </c>
      <c r="E55" s="745"/>
      <c r="F55" s="1814"/>
      <c r="G55" s="1063">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3422</v>
      </c>
      <c r="D56" s="1065">
        <f t="shared" si="7"/>
        <v>2.3999999999999998E-3</v>
      </c>
      <c r="E56" s="745"/>
      <c r="F56" s="1814"/>
      <c r="G56" s="1063">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3422</v>
      </c>
      <c r="D57" s="1065">
        <f t="shared" si="7"/>
        <v>3.8999999999999998E-3</v>
      </c>
      <c r="E57" s="745"/>
      <c r="F57" s="1814"/>
      <c r="G57" s="1063">
        <v>3.8999999999999998E-3</v>
      </c>
      <c r="H57" s="1066">
        <f t="shared" si="8"/>
        <v>3.8999999999999998E-3</v>
      </c>
      <c r="I57" s="3367">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3422</v>
      </c>
      <c r="D58" s="1065">
        <f t="shared" si="7"/>
        <v>2.3999999999999998E-3</v>
      </c>
      <c r="E58" s="746"/>
      <c r="F58" s="1814"/>
      <c r="G58" s="1063">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3273</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3297</v>
      </c>
      <c r="B103" s="3750"/>
      <c r="C103" s="3750"/>
      <c r="D103" s="3750"/>
      <c r="E103" s="3750"/>
      <c r="F103" s="3750"/>
      <c r="G103" s="3750"/>
      <c r="H103" s="3750"/>
      <c r="I103" s="3750"/>
      <c r="J103" s="3750"/>
      <c r="K103" s="3390"/>
      <c r="L103" s="3390"/>
      <c r="M103" s="3390"/>
      <c r="N103" s="3390"/>
    </row>
    <row r="104" spans="1:14">
      <c r="A104" s="3751" t="s">
        <v>3298</v>
      </c>
      <c r="B104" s="3751" t="s">
        <v>3299</v>
      </c>
      <c r="C104" s="3391" t="s">
        <v>3300</v>
      </c>
      <c r="D104" s="3392"/>
      <c r="E104" s="3392"/>
      <c r="F104" s="3392"/>
      <c r="G104" s="3392"/>
      <c r="H104" s="3392"/>
      <c r="I104" s="3392"/>
      <c r="J104" s="3393"/>
      <c r="K104" s="3394"/>
      <c r="L104" s="3394"/>
      <c r="M104" s="3394"/>
      <c r="N104" s="3394"/>
    </row>
    <row r="105" spans="1:14">
      <c r="A105" s="3751"/>
      <c r="B105" s="3751"/>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37"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3271</v>
      </c>
      <c r="C111" s="3396">
        <f>$I$3</f>
        <v>2</v>
      </c>
      <c r="D111" s="3396">
        <f t="shared" ref="D111:M111" si="32">$I$3</f>
        <v>2</v>
      </c>
      <c r="E111" s="3396">
        <f t="shared" si="32"/>
        <v>2</v>
      </c>
      <c r="F111" s="3396">
        <f t="shared" si="32"/>
        <v>2</v>
      </c>
      <c r="G111" s="3396">
        <f t="shared" si="32"/>
        <v>2</v>
      </c>
      <c r="H111" s="3396">
        <f t="shared" si="32"/>
        <v>2</v>
      </c>
      <c r="I111" s="3396">
        <f t="shared" si="32"/>
        <v>2</v>
      </c>
      <c r="J111" s="3396">
        <f t="shared" si="32"/>
        <v>2</v>
      </c>
      <c r="K111" s="3396">
        <f t="shared" si="32"/>
        <v>2</v>
      </c>
      <c r="L111" s="3396">
        <f t="shared" si="32"/>
        <v>2</v>
      </c>
      <c r="M111" s="3396">
        <f t="shared" si="32"/>
        <v>2</v>
      </c>
      <c r="N111" s="3396">
        <f>$I$3</f>
        <v>2</v>
      </c>
    </row>
    <row r="112" spans="1:14">
      <c r="A112" s="3739"/>
      <c r="B112" s="3395">
        <v>6</v>
      </c>
      <c r="C112" s="3388">
        <f>(-0.5556*(C111^2)-0.2719*C111+8944)*(10^(-4))</f>
        <v>0.89412338000000002</v>
      </c>
      <c r="D112" s="3388">
        <f>(-0.5556*(D111^2)-0.2719*D111+8944)*(10^(-4))</f>
        <v>0.89412338000000002</v>
      </c>
      <c r="E112" s="3388">
        <f>(-0.7912*(E111^2)-11.3794*E111+8482)*(10^(-4))</f>
        <v>0.84560763999999999</v>
      </c>
      <c r="F112" s="3388">
        <f t="shared" ref="F112:I112" si="33">(-0.7912*(F111^2)-11.3794*F111+8482)*(10^(-4))</f>
        <v>0.84560763999999999</v>
      </c>
      <c r="G112" s="3388">
        <f t="shared" si="33"/>
        <v>0.84560763999999999</v>
      </c>
      <c r="H112" s="3388">
        <f t="shared" si="33"/>
        <v>0.84560763999999999</v>
      </c>
      <c r="I112" s="3388">
        <f t="shared" si="33"/>
        <v>0.84560763999999999</v>
      </c>
      <c r="J112" s="3388">
        <f>(-0.989*(J111^2)-63.78*J111+7771)*(10^(-4))</f>
        <v>0.76394840000000008</v>
      </c>
      <c r="K112" s="3388">
        <f t="shared" ref="K112:N112" si="34">(-0.989*(K111^2)-63.78*K111+7771)*(10^(-4))</f>
        <v>0.76394840000000008</v>
      </c>
      <c r="L112" s="3388">
        <f t="shared" si="34"/>
        <v>0.76394840000000008</v>
      </c>
      <c r="M112" s="3388">
        <f t="shared" si="34"/>
        <v>0.76394840000000008</v>
      </c>
      <c r="N112" s="3388">
        <f t="shared" si="34"/>
        <v>0.76394840000000008</v>
      </c>
    </row>
    <row r="113" spans="1:14">
      <c r="A113" s="3740" t="s">
        <v>3314</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0</v>
      </c>
      <c r="C116" s="3400" t="s">
        <v>3316</v>
      </c>
      <c r="D116" s="3401">
        <f>SUMPRODUCT((A118:A122=F116)*(B117:M117=H116)*B118:M122)</f>
        <v>0.94899999999999995</v>
      </c>
      <c r="E116" s="2000" t="s">
        <v>3317</v>
      </c>
      <c r="F116" s="3402" t="str">
        <f>E2</f>
        <v>商业</v>
      </c>
      <c r="G116" s="2000" t="s">
        <v>3318</v>
      </c>
      <c r="H116" s="3402" t="str">
        <f>G2</f>
        <v>三级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3332</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3333</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3334</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5" t="s">
        <v>2610</v>
      </c>
      <c r="B20" s="3760" t="s">
        <v>2631</v>
      </c>
      <c r="C20" s="3103" t="s">
        <v>2442</v>
      </c>
      <c r="D20" s="3104"/>
      <c r="E20" s="3105">
        <v>1</v>
      </c>
      <c r="F20" s="3106" t="s">
        <v>2443</v>
      </c>
      <c r="G20" s="3106"/>
    </row>
    <row r="21" spans="1:13" ht="19.5" customHeight="1">
      <c r="A21" s="3766"/>
      <c r="B21" s="3759"/>
      <c r="C21" s="3107" t="s">
        <v>2444</v>
      </c>
      <c r="D21" s="3108"/>
      <c r="E21" s="3109">
        <v>1</v>
      </c>
      <c r="F21" s="3106" t="s">
        <v>2445</v>
      </c>
      <c r="G21" s="3106"/>
    </row>
    <row r="22" spans="1:13" ht="19.5" customHeight="1">
      <c r="A22" s="3766"/>
      <c r="B22" s="3759"/>
      <c r="C22" s="3107" t="s">
        <v>2446</v>
      </c>
      <c r="D22" s="3108"/>
      <c r="E22" s="3109">
        <v>0.9</v>
      </c>
      <c r="F22" s="3106" t="s">
        <v>2447</v>
      </c>
      <c r="G22" s="3106"/>
    </row>
    <row r="23" spans="1:13" ht="19.5" customHeight="1">
      <c r="A23" s="3766"/>
      <c r="B23" s="3759"/>
      <c r="C23" s="3107" t="s">
        <v>2448</v>
      </c>
      <c r="D23" s="3108"/>
      <c r="E23" s="3109">
        <v>0.9</v>
      </c>
      <c r="F23" s="3106" t="s">
        <v>2449</v>
      </c>
      <c r="G23" s="3106"/>
    </row>
    <row r="24" spans="1:13" ht="19.5" customHeight="1">
      <c r="A24" s="3766"/>
      <c r="B24" s="3759"/>
      <c r="C24" s="3107" t="s">
        <v>2450</v>
      </c>
      <c r="D24" s="3108"/>
      <c r="E24" s="3109">
        <v>0.8</v>
      </c>
      <c r="F24" s="3106" t="s">
        <v>2451</v>
      </c>
      <c r="G24" s="3106"/>
    </row>
    <row r="25" spans="1:13" ht="19.5" customHeight="1" thickBot="1">
      <c r="A25" s="3767"/>
      <c r="B25" s="3761"/>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2" t="s">
        <v>2634</v>
      </c>
      <c r="B27" s="3760" t="s">
        <v>2615</v>
      </c>
      <c r="C27" s="3103" t="s">
        <v>2455</v>
      </c>
      <c r="D27" s="3104"/>
      <c r="E27" s="3105">
        <v>1</v>
      </c>
      <c r="F27" s="3106" t="s">
        <v>2456</v>
      </c>
      <c r="G27" s="3106"/>
    </row>
    <row r="28" spans="1:13" ht="19.5" customHeight="1">
      <c r="A28" s="3763"/>
      <c r="B28" s="3759"/>
      <c r="C28" s="3107" t="s">
        <v>2457</v>
      </c>
      <c r="D28" s="3108"/>
      <c r="E28" s="3109">
        <v>1</v>
      </c>
      <c r="F28" s="3106" t="s">
        <v>2458</v>
      </c>
      <c r="G28" s="3106"/>
    </row>
    <row r="29" spans="1:13" ht="19.5" customHeight="1">
      <c r="A29" s="3763"/>
      <c r="B29" s="3759"/>
      <c r="C29" s="3107" t="s">
        <v>2459</v>
      </c>
      <c r="D29" s="3108"/>
      <c r="E29" s="3109">
        <v>0.8</v>
      </c>
      <c r="F29" s="3106" t="s">
        <v>2460</v>
      </c>
      <c r="G29" s="3106"/>
    </row>
    <row r="30" spans="1:13" ht="19.5" customHeight="1">
      <c r="A30" s="3763"/>
      <c r="B30" s="3759"/>
      <c r="C30" s="3107" t="s">
        <v>2461</v>
      </c>
      <c r="D30" s="3108"/>
      <c r="E30" s="3109">
        <v>0.8</v>
      </c>
      <c r="F30" s="3106" t="s">
        <v>2462</v>
      </c>
      <c r="G30" s="3106"/>
    </row>
    <row r="31" spans="1:13" ht="19.5" customHeight="1">
      <c r="A31" s="3763"/>
      <c r="B31" s="3759"/>
      <c r="C31" s="3107" t="s">
        <v>2463</v>
      </c>
      <c r="D31" s="3108"/>
      <c r="E31" s="3109">
        <v>0.8</v>
      </c>
      <c r="F31" s="3106" t="s">
        <v>2464</v>
      </c>
      <c r="G31" s="3106"/>
    </row>
    <row r="32" spans="1:13" ht="19.5" customHeight="1">
      <c r="A32" s="3763"/>
      <c r="B32" s="3759"/>
      <c r="C32" s="3107" t="s">
        <v>2465</v>
      </c>
      <c r="D32" s="3108"/>
      <c r="E32" s="3109">
        <v>0.7</v>
      </c>
      <c r="F32" s="3106" t="s">
        <v>2466</v>
      </c>
      <c r="G32" s="3106"/>
    </row>
    <row r="33" spans="1:7" ht="19.5" customHeight="1">
      <c r="A33" s="3763"/>
      <c r="B33" s="3759"/>
      <c r="C33" s="3107" t="s">
        <v>2467</v>
      </c>
      <c r="D33" s="3108"/>
      <c r="E33" s="3109">
        <v>0.8</v>
      </c>
      <c r="F33" s="3106" t="s">
        <v>2468</v>
      </c>
      <c r="G33" s="3106"/>
    </row>
    <row r="34" spans="1:7" ht="19.5" customHeight="1">
      <c r="A34" s="3763"/>
      <c r="B34" s="3759"/>
      <c r="C34" s="3107" t="s">
        <v>2469</v>
      </c>
      <c r="D34" s="3108"/>
      <c r="E34" s="3109">
        <v>0.6</v>
      </c>
      <c r="F34" s="3106" t="s">
        <v>2470</v>
      </c>
      <c r="G34" s="3106"/>
    </row>
    <row r="35" spans="1:7" ht="19.5" customHeight="1">
      <c r="A35" s="3763"/>
      <c r="B35" s="3759"/>
      <c r="C35" s="3107" t="s">
        <v>2471</v>
      </c>
      <c r="D35" s="3108"/>
      <c r="E35" s="3109">
        <v>0.2</v>
      </c>
      <c r="F35" s="3106" t="s">
        <v>2472</v>
      </c>
      <c r="G35" s="3106"/>
    </row>
    <row r="36" spans="1:7" ht="19.5" customHeight="1">
      <c r="A36" s="3763"/>
      <c r="B36" s="3759"/>
      <c r="C36" s="3107" t="s">
        <v>2473</v>
      </c>
      <c r="D36" s="3108"/>
      <c r="E36" s="3109">
        <v>0.2</v>
      </c>
      <c r="F36" s="3106" t="s">
        <v>2474</v>
      </c>
      <c r="G36" s="3106"/>
    </row>
    <row r="37" spans="1:7" ht="19.5" customHeight="1">
      <c r="A37" s="3763"/>
      <c r="B37" s="3757" t="s">
        <v>2635</v>
      </c>
      <c r="C37" s="3107" t="s">
        <v>2475</v>
      </c>
      <c r="D37" s="3108"/>
      <c r="E37" s="3109">
        <v>0.6</v>
      </c>
      <c r="F37" s="3106" t="s">
        <v>2476</v>
      </c>
      <c r="G37" s="3106"/>
    </row>
    <row r="38" spans="1:7" ht="19.5" customHeight="1">
      <c r="A38" s="3763"/>
      <c r="B38" s="3759"/>
      <c r="C38" s="3107" t="s">
        <v>2477</v>
      </c>
      <c r="D38" s="3108"/>
      <c r="E38" s="3109">
        <v>0.6</v>
      </c>
      <c r="F38" s="3106" t="s">
        <v>2478</v>
      </c>
      <c r="G38" s="3106"/>
    </row>
    <row r="39" spans="1:7" ht="19.5" customHeight="1" thickBot="1">
      <c r="A39" s="3764"/>
      <c r="B39" s="3761"/>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5" t="s">
        <v>2613</v>
      </c>
      <c r="B41" s="3760" t="s">
        <v>2637</v>
      </c>
      <c r="C41" s="3103" t="s">
        <v>2482</v>
      </c>
      <c r="D41" s="3104"/>
      <c r="E41" s="3105">
        <v>1</v>
      </c>
      <c r="F41" s="3106" t="s">
        <v>2483</v>
      </c>
      <c r="G41" s="3106"/>
    </row>
    <row r="42" spans="1:7" ht="19.5" customHeight="1">
      <c r="A42" s="3766"/>
      <c r="B42" s="3759"/>
      <c r="C42" s="3107" t="s">
        <v>2484</v>
      </c>
      <c r="D42" s="3108"/>
      <c r="E42" s="3109">
        <v>1</v>
      </c>
      <c r="F42" s="3106" t="s">
        <v>2485</v>
      </c>
      <c r="G42" s="3106"/>
    </row>
    <row r="43" spans="1:7" ht="19.5" customHeight="1">
      <c r="A43" s="3766"/>
      <c r="B43" s="3758"/>
      <c r="C43" s="3107" t="s">
        <v>2486</v>
      </c>
      <c r="D43" s="3108"/>
      <c r="E43" s="3109">
        <v>1.5</v>
      </c>
      <c r="F43" s="3106" t="s">
        <v>2487</v>
      </c>
      <c r="G43" s="3106"/>
    </row>
    <row r="44" spans="1:7" ht="19.5" customHeight="1">
      <c r="A44" s="3766"/>
      <c r="B44" s="3118" t="s">
        <v>2638</v>
      </c>
      <c r="C44" s="3107" t="s">
        <v>2639</v>
      </c>
      <c r="D44" s="3108"/>
      <c r="E44" s="3109">
        <v>2</v>
      </c>
      <c r="F44" s="3106" t="s">
        <v>2488</v>
      </c>
      <c r="G44" s="3106"/>
    </row>
    <row r="45" spans="1:7" ht="19.5" customHeight="1">
      <c r="A45" s="3766"/>
      <c r="B45" s="3757" t="s">
        <v>2640</v>
      </c>
      <c r="C45" s="3107" t="s">
        <v>2489</v>
      </c>
      <c r="D45" s="3108"/>
      <c r="E45" s="3109">
        <v>1</v>
      </c>
      <c r="F45" s="3106" t="s">
        <v>2490</v>
      </c>
      <c r="G45" s="3106"/>
    </row>
    <row r="46" spans="1:7" ht="19.5" customHeight="1">
      <c r="A46" s="3766"/>
      <c r="B46" s="3759"/>
      <c r="C46" s="3107" t="s">
        <v>2491</v>
      </c>
      <c r="D46" s="3108"/>
      <c r="E46" s="3109">
        <v>1</v>
      </c>
      <c r="F46" s="3106" t="s">
        <v>2492</v>
      </c>
      <c r="G46" s="3106"/>
    </row>
    <row r="47" spans="1:7" ht="19.5" customHeight="1">
      <c r="A47" s="3766"/>
      <c r="B47" s="3759"/>
      <c r="C47" s="3107" t="s">
        <v>2493</v>
      </c>
      <c r="D47" s="3108"/>
      <c r="E47" s="3109">
        <v>1</v>
      </c>
      <c r="F47" s="3106" t="s">
        <v>2494</v>
      </c>
      <c r="G47" s="3106"/>
    </row>
    <row r="48" spans="1:7" ht="19.5" customHeight="1">
      <c r="A48" s="3766"/>
      <c r="B48" s="3759"/>
      <c r="C48" s="3107" t="s">
        <v>2495</v>
      </c>
      <c r="D48" s="3108"/>
      <c r="E48" s="3109">
        <v>1</v>
      </c>
      <c r="F48" s="3106" t="s">
        <v>2496</v>
      </c>
      <c r="G48" s="3106"/>
    </row>
    <row r="49" spans="1:7" ht="19.5" customHeight="1">
      <c r="A49" s="3766"/>
      <c r="B49" s="3759"/>
      <c r="C49" s="3107" t="s">
        <v>2497</v>
      </c>
      <c r="D49" s="3108"/>
      <c r="E49" s="3109">
        <v>1</v>
      </c>
      <c r="F49" s="3106" t="s">
        <v>2498</v>
      </c>
      <c r="G49" s="3106"/>
    </row>
    <row r="50" spans="1:7" ht="19.5" customHeight="1">
      <c r="A50" s="3766"/>
      <c r="B50" s="3759"/>
      <c r="C50" s="3107" t="s">
        <v>2499</v>
      </c>
      <c r="D50" s="3108"/>
      <c r="E50" s="3109">
        <v>1</v>
      </c>
      <c r="F50" s="3106" t="s">
        <v>2500</v>
      </c>
      <c r="G50" s="3106"/>
    </row>
    <row r="51" spans="1:7" ht="19.5" customHeight="1" thickBot="1">
      <c r="A51" s="3767"/>
      <c r="B51" s="3761"/>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7" t="s">
        <v>2654</v>
      </c>
      <c r="C73" s="3092" t="s">
        <v>2655</v>
      </c>
      <c r="D73" s="3092" t="s">
        <v>2656</v>
      </c>
      <c r="E73" s="3118">
        <v>0.2</v>
      </c>
      <c r="F73" s="3118">
        <v>25</v>
      </c>
    </row>
    <row r="74" spans="1:7" ht="24">
      <c r="A74" s="3118">
        <v>2</v>
      </c>
      <c r="B74" s="3759"/>
      <c r="C74" s="3092" t="s">
        <v>2657</v>
      </c>
      <c r="D74" s="3092" t="s">
        <v>2658</v>
      </c>
      <c r="E74" s="3118">
        <v>0.2</v>
      </c>
      <c r="F74" s="3118">
        <v>25</v>
      </c>
    </row>
    <row r="75" spans="1:7" ht="24">
      <c r="A75" s="3118">
        <v>3</v>
      </c>
      <c r="B75" s="3759"/>
      <c r="C75" s="3092" t="s">
        <v>2659</v>
      </c>
      <c r="D75" s="3092" t="s">
        <v>2660</v>
      </c>
      <c r="E75" s="3118">
        <v>0.2</v>
      </c>
      <c r="F75" s="3118">
        <v>25</v>
      </c>
    </row>
    <row r="76" spans="1:7" ht="13.5">
      <c r="A76" s="3118">
        <v>4</v>
      </c>
      <c r="B76" s="3759"/>
      <c r="C76" s="3092" t="s">
        <v>2661</v>
      </c>
      <c r="D76" s="3092" t="s">
        <v>2662</v>
      </c>
      <c r="E76" s="3118">
        <v>0.15</v>
      </c>
      <c r="F76" s="3118">
        <v>20</v>
      </c>
    </row>
    <row r="77" spans="1:7" ht="24">
      <c r="A77" s="3118">
        <v>5</v>
      </c>
      <c r="B77" s="3759"/>
      <c r="C77" s="3092" t="s">
        <v>2663</v>
      </c>
      <c r="D77" s="3092" t="s">
        <v>2664</v>
      </c>
      <c r="E77" s="3118">
        <v>0.15</v>
      </c>
      <c r="F77" s="3118">
        <v>20</v>
      </c>
    </row>
    <row r="78" spans="1:7" ht="24">
      <c r="A78" s="3118">
        <v>6</v>
      </c>
      <c r="B78" s="3759"/>
      <c r="C78" s="3092" t="s">
        <v>2665</v>
      </c>
      <c r="D78" s="3092" t="s">
        <v>2666</v>
      </c>
      <c r="E78" s="3118">
        <v>0.15</v>
      </c>
      <c r="F78" s="3118">
        <v>20</v>
      </c>
    </row>
    <row r="79" spans="1:7" ht="24">
      <c r="A79" s="3118">
        <v>7</v>
      </c>
      <c r="B79" s="3759"/>
      <c r="C79" s="3092" t="s">
        <v>2667</v>
      </c>
      <c r="D79" s="3092" t="s">
        <v>2668</v>
      </c>
      <c r="E79" s="3118">
        <v>0.15</v>
      </c>
      <c r="F79" s="3118">
        <v>20</v>
      </c>
    </row>
    <row r="80" spans="1:7" ht="24">
      <c r="A80" s="3118">
        <v>8</v>
      </c>
      <c r="B80" s="3759"/>
      <c r="C80" s="3092" t="s">
        <v>2669</v>
      </c>
      <c r="D80" s="3092" t="s">
        <v>2670</v>
      </c>
      <c r="E80" s="3118">
        <v>0.1</v>
      </c>
      <c r="F80" s="3118">
        <v>15</v>
      </c>
    </row>
    <row r="81" spans="1:6" ht="24">
      <c r="A81" s="3118">
        <v>9</v>
      </c>
      <c r="B81" s="3759"/>
      <c r="C81" s="3092" t="s">
        <v>2671</v>
      </c>
      <c r="D81" s="3092" t="s">
        <v>2672</v>
      </c>
      <c r="E81" s="3118">
        <v>0.1</v>
      </c>
      <c r="F81" s="3118">
        <v>15</v>
      </c>
    </row>
    <row r="82" spans="1:6" ht="24">
      <c r="A82" s="3118">
        <v>10</v>
      </c>
      <c r="B82" s="3759"/>
      <c r="C82" s="3092" t="s">
        <v>2673</v>
      </c>
      <c r="D82" s="3092" t="s">
        <v>2674</v>
      </c>
      <c r="E82" s="3118">
        <v>0.1</v>
      </c>
      <c r="F82" s="3118">
        <v>15</v>
      </c>
    </row>
    <row r="83" spans="1:6" ht="24">
      <c r="A83" s="3118">
        <v>11</v>
      </c>
      <c r="B83" s="3759"/>
      <c r="C83" s="3092" t="s">
        <v>2675</v>
      </c>
      <c r="D83" s="3092" t="s">
        <v>2676</v>
      </c>
      <c r="E83" s="3118">
        <v>0.1</v>
      </c>
      <c r="F83" s="3118">
        <v>15</v>
      </c>
    </row>
    <row r="84" spans="1:6" ht="24">
      <c r="A84" s="3118">
        <v>12</v>
      </c>
      <c r="B84" s="3759"/>
      <c r="C84" s="3092" t="s">
        <v>2677</v>
      </c>
      <c r="D84" s="3092" t="s">
        <v>2678</v>
      </c>
      <c r="E84" s="3118">
        <v>0.1</v>
      </c>
      <c r="F84" s="3118">
        <v>15</v>
      </c>
    </row>
    <row r="85" spans="1:6" ht="13.5">
      <c r="A85" s="3118">
        <v>13</v>
      </c>
      <c r="B85" s="3759"/>
      <c r="C85" s="3092" t="s">
        <v>2679</v>
      </c>
      <c r="D85" s="3092" t="s">
        <v>2680</v>
      </c>
      <c r="E85" s="3118">
        <v>0.1</v>
      </c>
      <c r="F85" s="3118">
        <v>15</v>
      </c>
    </row>
    <row r="86" spans="1:6" ht="13.5">
      <c r="A86" s="3118">
        <v>14</v>
      </c>
      <c r="B86" s="3759"/>
      <c r="C86" s="3092" t="s">
        <v>2681</v>
      </c>
      <c r="D86" s="3092" t="s">
        <v>2682</v>
      </c>
      <c r="E86" s="3118">
        <v>0.1</v>
      </c>
      <c r="F86" s="3118">
        <v>15</v>
      </c>
    </row>
    <row r="87" spans="1:6" ht="13.5">
      <c r="A87" s="3118">
        <v>15</v>
      </c>
      <c r="B87" s="3759"/>
      <c r="C87" s="3092" t="s">
        <v>2683</v>
      </c>
      <c r="D87" s="3092" t="s">
        <v>2684</v>
      </c>
      <c r="E87" s="3118">
        <v>0.1</v>
      </c>
      <c r="F87" s="3118">
        <v>15</v>
      </c>
    </row>
    <row r="88" spans="1:6" ht="24">
      <c r="A88" s="3118">
        <v>16</v>
      </c>
      <c r="B88" s="3759"/>
      <c r="C88" s="3092" t="s">
        <v>2685</v>
      </c>
      <c r="D88" s="3092" t="s">
        <v>2686</v>
      </c>
      <c r="E88" s="3118">
        <v>0.1</v>
      </c>
      <c r="F88" s="3118">
        <v>15</v>
      </c>
    </row>
    <row r="89" spans="1:6" ht="24">
      <c r="A89" s="3118">
        <v>17</v>
      </c>
      <c r="B89" s="3758"/>
      <c r="C89" s="3092" t="s">
        <v>2687</v>
      </c>
      <c r="D89" s="3092" t="s">
        <v>2688</v>
      </c>
      <c r="E89" s="3118">
        <v>0.1</v>
      </c>
      <c r="F89" s="3118">
        <v>15</v>
      </c>
    </row>
    <row r="90" spans="1:6" ht="13.5">
      <c r="A90" s="3118">
        <v>18</v>
      </c>
      <c r="B90" s="3757" t="s">
        <v>2689</v>
      </c>
      <c r="C90" s="3092" t="s">
        <v>2690</v>
      </c>
      <c r="D90" s="3092" t="s">
        <v>2691</v>
      </c>
      <c r="E90" s="3118">
        <v>0.2</v>
      </c>
      <c r="F90" s="3118">
        <v>25</v>
      </c>
    </row>
    <row r="91" spans="1:6" ht="24">
      <c r="A91" s="3118">
        <v>19</v>
      </c>
      <c r="B91" s="3759"/>
      <c r="C91" s="3092" t="s">
        <v>2692</v>
      </c>
      <c r="D91" s="3092" t="s">
        <v>2693</v>
      </c>
      <c r="E91" s="3118">
        <v>0.2</v>
      </c>
      <c r="F91" s="3118">
        <v>25</v>
      </c>
    </row>
    <row r="92" spans="1:6" ht="13.5">
      <c r="A92" s="3118">
        <v>20</v>
      </c>
      <c r="B92" s="3759"/>
      <c r="C92" s="3092" t="s">
        <v>2694</v>
      </c>
      <c r="D92" s="3092" t="s">
        <v>2695</v>
      </c>
      <c r="E92" s="3118">
        <v>0.15</v>
      </c>
      <c r="F92" s="3118">
        <v>20</v>
      </c>
    </row>
    <row r="93" spans="1:6" ht="13.5">
      <c r="A93" s="3118">
        <v>21</v>
      </c>
      <c r="B93" s="3759"/>
      <c r="C93" s="3092" t="s">
        <v>2696</v>
      </c>
      <c r="D93" s="3092" t="s">
        <v>2697</v>
      </c>
      <c r="E93" s="3118">
        <v>0.15</v>
      </c>
      <c r="F93" s="3118">
        <v>20</v>
      </c>
    </row>
    <row r="94" spans="1:6" ht="13.5">
      <c r="A94" s="3118">
        <v>22</v>
      </c>
      <c r="B94" s="3759"/>
      <c r="C94" s="3092" t="s">
        <v>2698</v>
      </c>
      <c r="D94" s="3092" t="s">
        <v>2699</v>
      </c>
      <c r="E94" s="3118">
        <v>0.15</v>
      </c>
      <c r="F94" s="3118">
        <v>20</v>
      </c>
    </row>
    <row r="95" spans="1:6" ht="36">
      <c r="A95" s="3118">
        <v>23</v>
      </c>
      <c r="B95" s="3759"/>
      <c r="C95" s="3092" t="s">
        <v>2700</v>
      </c>
      <c r="D95" s="3092" t="s">
        <v>2701</v>
      </c>
      <c r="E95" s="3118">
        <v>0.15</v>
      </c>
      <c r="F95" s="3118">
        <v>20</v>
      </c>
    </row>
    <row r="96" spans="1:6" ht="13.5">
      <c r="A96" s="3118">
        <v>24</v>
      </c>
      <c r="B96" s="3759"/>
      <c r="C96" s="3092" t="s">
        <v>2702</v>
      </c>
      <c r="D96" s="3092" t="s">
        <v>2703</v>
      </c>
      <c r="E96" s="3118">
        <v>0.1</v>
      </c>
      <c r="F96" s="3118">
        <v>15</v>
      </c>
    </row>
    <row r="97" spans="1:6" ht="13.5">
      <c r="A97" s="3118">
        <v>25</v>
      </c>
      <c r="B97" s="3759"/>
      <c r="C97" s="3092" t="s">
        <v>2704</v>
      </c>
      <c r="D97" s="3092" t="s">
        <v>2705</v>
      </c>
      <c r="E97" s="3118">
        <v>0.1</v>
      </c>
      <c r="F97" s="3118">
        <v>15</v>
      </c>
    </row>
    <row r="98" spans="1:6" ht="24">
      <c r="A98" s="3118">
        <v>26</v>
      </c>
      <c r="B98" s="3759"/>
      <c r="C98" s="3092" t="s">
        <v>2706</v>
      </c>
      <c r="D98" s="3092" t="s">
        <v>2707</v>
      </c>
      <c r="E98" s="3118">
        <v>0.1</v>
      </c>
      <c r="F98" s="3118">
        <v>15</v>
      </c>
    </row>
    <row r="99" spans="1:6" ht="24">
      <c r="A99" s="3118">
        <v>27</v>
      </c>
      <c r="B99" s="3759"/>
      <c r="C99" s="3092" t="s">
        <v>2708</v>
      </c>
      <c r="D99" s="3092" t="s">
        <v>2709</v>
      </c>
      <c r="E99" s="3118">
        <v>0.1</v>
      </c>
      <c r="F99" s="3118">
        <v>15</v>
      </c>
    </row>
    <row r="100" spans="1:6" ht="13.5">
      <c r="A100" s="3118">
        <v>28</v>
      </c>
      <c r="B100" s="3759"/>
      <c r="C100" s="3092" t="s">
        <v>2710</v>
      </c>
      <c r="D100" s="3092" t="s">
        <v>2711</v>
      </c>
      <c r="E100" s="3118">
        <v>0.1</v>
      </c>
      <c r="F100" s="3118">
        <v>15</v>
      </c>
    </row>
    <row r="101" spans="1:6" ht="13.5">
      <c r="A101" s="3118">
        <v>29</v>
      </c>
      <c r="B101" s="3759"/>
      <c r="C101" s="3092" t="s">
        <v>2712</v>
      </c>
      <c r="D101" s="3092" t="s">
        <v>2713</v>
      </c>
      <c r="E101" s="3118">
        <v>0.1</v>
      </c>
      <c r="F101" s="3118">
        <v>15</v>
      </c>
    </row>
    <row r="102" spans="1:6" ht="13.5">
      <c r="A102" s="3118">
        <v>30</v>
      </c>
      <c r="B102" s="3759"/>
      <c r="C102" s="3092" t="s">
        <v>2714</v>
      </c>
      <c r="D102" s="3092" t="s">
        <v>2715</v>
      </c>
      <c r="E102" s="3118">
        <v>0.1</v>
      </c>
      <c r="F102" s="3118">
        <v>15</v>
      </c>
    </row>
    <row r="103" spans="1:6" ht="24">
      <c r="A103" s="3118">
        <v>31</v>
      </c>
      <c r="B103" s="3759"/>
      <c r="C103" s="3092" t="s">
        <v>2716</v>
      </c>
      <c r="D103" s="3092" t="s">
        <v>2717</v>
      </c>
      <c r="E103" s="3118">
        <v>0.1</v>
      </c>
      <c r="F103" s="3118">
        <v>15</v>
      </c>
    </row>
    <row r="104" spans="1:6" ht="24">
      <c r="A104" s="3118">
        <v>32</v>
      </c>
      <c r="B104" s="3759"/>
      <c r="C104" s="3092" t="s">
        <v>2718</v>
      </c>
      <c r="D104" s="3092" t="s">
        <v>2719</v>
      </c>
      <c r="E104" s="3118">
        <v>0.1</v>
      </c>
      <c r="F104" s="3118">
        <v>15</v>
      </c>
    </row>
    <row r="105" spans="1:6" ht="24">
      <c r="A105" s="3118">
        <v>33</v>
      </c>
      <c r="B105" s="3759"/>
      <c r="C105" s="3092" t="s">
        <v>2720</v>
      </c>
      <c r="D105" s="3092" t="s">
        <v>2721</v>
      </c>
      <c r="E105" s="3118">
        <v>0.1</v>
      </c>
      <c r="F105" s="3118">
        <v>15</v>
      </c>
    </row>
    <row r="106" spans="1:6" ht="24">
      <c r="A106" s="3118">
        <v>34</v>
      </c>
      <c r="B106" s="3758"/>
      <c r="C106" s="3092" t="s">
        <v>2722</v>
      </c>
      <c r="D106" s="3092" t="s">
        <v>2723</v>
      </c>
      <c r="E106" s="3118">
        <v>0.1</v>
      </c>
      <c r="F106" s="3118">
        <v>15</v>
      </c>
    </row>
    <row r="107" spans="1:6" ht="24">
      <c r="A107" s="3118">
        <v>35</v>
      </c>
      <c r="B107" s="3757" t="s">
        <v>2724</v>
      </c>
      <c r="C107" s="3118" t="s">
        <v>2725</v>
      </c>
      <c r="D107" s="3092" t="s">
        <v>2726</v>
      </c>
      <c r="E107" s="3118">
        <v>0.15</v>
      </c>
      <c r="F107" s="3118">
        <v>20</v>
      </c>
    </row>
    <row r="108" spans="1:6" ht="13.5">
      <c r="A108" s="3118">
        <v>36</v>
      </c>
      <c r="B108" s="3759"/>
      <c r="C108" s="3118" t="s">
        <v>2727</v>
      </c>
      <c r="D108" s="3092" t="s">
        <v>2728</v>
      </c>
      <c r="E108" s="3118">
        <v>0.15</v>
      </c>
      <c r="F108" s="3118">
        <v>20</v>
      </c>
    </row>
    <row r="109" spans="1:6" ht="13.5">
      <c r="A109" s="3118">
        <v>37</v>
      </c>
      <c r="B109" s="3759"/>
      <c r="C109" s="3118" t="s">
        <v>2729</v>
      </c>
      <c r="D109" s="3092" t="s">
        <v>2730</v>
      </c>
      <c r="E109" s="3118">
        <v>0.15</v>
      </c>
      <c r="F109" s="3118">
        <v>20</v>
      </c>
    </row>
    <row r="110" spans="1:6" ht="13.5">
      <c r="A110" s="3118">
        <v>38</v>
      </c>
      <c r="B110" s="3759"/>
      <c r="C110" s="3118" t="s">
        <v>2731</v>
      </c>
      <c r="D110" s="3092" t="s">
        <v>2732</v>
      </c>
      <c r="E110" s="3118">
        <v>0.1</v>
      </c>
      <c r="F110" s="3118">
        <v>15</v>
      </c>
    </row>
    <row r="111" spans="1:6" ht="24">
      <c r="A111" s="3118">
        <v>39</v>
      </c>
      <c r="B111" s="3759"/>
      <c r="C111" s="3118" t="s">
        <v>2733</v>
      </c>
      <c r="D111" s="3092" t="s">
        <v>2734</v>
      </c>
      <c r="E111" s="3118">
        <v>0.1</v>
      </c>
      <c r="F111" s="3118">
        <v>15</v>
      </c>
    </row>
    <row r="112" spans="1:6" ht="24">
      <c r="A112" s="3118">
        <v>40</v>
      </c>
      <c r="B112" s="3758"/>
      <c r="C112" s="3118" t="s">
        <v>2735</v>
      </c>
      <c r="D112" s="3092" t="s">
        <v>2736</v>
      </c>
      <c r="E112" s="3118">
        <v>0.1</v>
      </c>
      <c r="F112" s="3118">
        <v>15</v>
      </c>
    </row>
    <row r="113" spans="1:6" ht="13.5">
      <c r="A113" s="3118">
        <v>41</v>
      </c>
      <c r="B113" s="3756" t="s">
        <v>2737</v>
      </c>
      <c r="C113" s="3118" t="s">
        <v>2738</v>
      </c>
      <c r="D113" s="3092" t="s">
        <v>2739</v>
      </c>
      <c r="E113" s="3118">
        <v>0.1</v>
      </c>
      <c r="F113" s="3118">
        <v>15</v>
      </c>
    </row>
    <row r="114" spans="1:6" ht="13.5">
      <c r="A114" s="3118">
        <v>42</v>
      </c>
      <c r="B114" s="3756"/>
      <c r="C114" s="3118" t="s">
        <v>2740</v>
      </c>
      <c r="D114" s="3092" t="s">
        <v>2741</v>
      </c>
      <c r="E114" s="3118">
        <v>0.1</v>
      </c>
      <c r="F114" s="3118">
        <v>15</v>
      </c>
    </row>
    <row r="115" spans="1:6" ht="24">
      <c r="A115" s="3118">
        <v>43</v>
      </c>
      <c r="B115" s="3756"/>
      <c r="C115" s="3118" t="s">
        <v>2742</v>
      </c>
      <c r="D115" s="3092" t="s">
        <v>2743</v>
      </c>
      <c r="E115" s="3118">
        <v>0.1</v>
      </c>
      <c r="F115" s="3118">
        <v>15</v>
      </c>
    </row>
    <row r="116" spans="1:6" ht="13.5">
      <c r="A116" s="3118">
        <v>44</v>
      </c>
      <c r="B116" s="3757" t="s">
        <v>2744</v>
      </c>
      <c r="C116" s="3118" t="s">
        <v>2745</v>
      </c>
      <c r="D116" s="3092" t="s">
        <v>2746</v>
      </c>
      <c r="E116" s="3118">
        <v>0.1</v>
      </c>
      <c r="F116" s="3118">
        <v>15</v>
      </c>
    </row>
    <row r="117" spans="1:6" ht="24">
      <c r="A117" s="3118">
        <v>45</v>
      </c>
      <c r="B117" s="3758"/>
      <c r="C117" s="3092" t="s">
        <v>2747</v>
      </c>
      <c r="D117" s="3092" t="s">
        <v>2748</v>
      </c>
      <c r="E117" s="3118">
        <v>0.1</v>
      </c>
      <c r="F117" s="3118">
        <v>15</v>
      </c>
    </row>
    <row r="118" spans="1:6" ht="24">
      <c r="A118" s="3118">
        <v>46</v>
      </c>
      <c r="B118" s="3757" t="s">
        <v>2749</v>
      </c>
      <c r="C118" s="3118" t="s">
        <v>2750</v>
      </c>
      <c r="D118" s="3092" t="s">
        <v>2751</v>
      </c>
      <c r="E118" s="3118">
        <v>0.1</v>
      </c>
      <c r="F118" s="3118">
        <v>15</v>
      </c>
    </row>
    <row r="119" spans="1:6" ht="24">
      <c r="A119" s="3118">
        <v>47</v>
      </c>
      <c r="B119" s="3758"/>
      <c r="C119" s="3118" t="s">
        <v>2752</v>
      </c>
      <c r="D119" s="3092" t="s">
        <v>2753</v>
      </c>
      <c r="E119" s="3118">
        <v>0.1</v>
      </c>
      <c r="F119" s="3118">
        <v>15</v>
      </c>
    </row>
    <row r="120" spans="1:6" ht="13.5">
      <c r="A120" s="3118">
        <v>48</v>
      </c>
      <c r="B120" s="3757" t="s">
        <v>2754</v>
      </c>
      <c r="C120" s="3118" t="s">
        <v>2755</v>
      </c>
      <c r="D120" s="3092" t="s">
        <v>2756</v>
      </c>
      <c r="E120" s="3118">
        <v>0.1</v>
      </c>
      <c r="F120" s="3118">
        <v>15</v>
      </c>
    </row>
    <row r="121" spans="1:6" ht="13.5">
      <c r="A121" s="3118">
        <v>49</v>
      </c>
      <c r="B121" s="3758"/>
      <c r="C121" s="3118" t="s">
        <v>2757</v>
      </c>
      <c r="D121" s="3092" t="s">
        <v>2758</v>
      </c>
      <c r="E121" s="3118">
        <v>0.1</v>
      </c>
      <c r="F121" s="3118">
        <v>15</v>
      </c>
    </row>
    <row r="122" spans="1:6" ht="24">
      <c r="A122" s="3118">
        <v>50</v>
      </c>
      <c r="B122" s="3756" t="s">
        <v>2759</v>
      </c>
      <c r="C122" s="3118" t="s">
        <v>2760</v>
      </c>
      <c r="D122" s="3092" t="s">
        <v>2761</v>
      </c>
      <c r="E122" s="3118">
        <v>0.1</v>
      </c>
      <c r="F122" s="3118">
        <v>15</v>
      </c>
    </row>
    <row r="123" spans="1:6" ht="24">
      <c r="A123" s="3118">
        <v>51</v>
      </c>
      <c r="B123" s="3756"/>
      <c r="C123" s="3118" t="s">
        <v>2762</v>
      </c>
      <c r="D123" s="3092" t="s">
        <v>2763</v>
      </c>
      <c r="E123" s="3118">
        <v>0.1</v>
      </c>
      <c r="F123" s="3118">
        <v>15</v>
      </c>
    </row>
    <row r="124" spans="1:6" ht="24">
      <c r="A124" s="3118">
        <v>52</v>
      </c>
      <c r="B124" s="3756" t="s">
        <v>2764</v>
      </c>
      <c r="C124" s="3118" t="s">
        <v>2765</v>
      </c>
      <c r="D124" s="3092" t="s">
        <v>2766</v>
      </c>
      <c r="E124" s="3118">
        <v>0.1</v>
      </c>
      <c r="F124" s="3118">
        <v>15</v>
      </c>
    </row>
    <row r="125" spans="1:6" ht="24">
      <c r="A125" s="3118">
        <v>53</v>
      </c>
      <c r="B125" s="3756"/>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6" t="s">
        <v>2772</v>
      </c>
      <c r="C127" s="3118" t="s">
        <v>2773</v>
      </c>
      <c r="D127" s="3092" t="s">
        <v>2774</v>
      </c>
      <c r="E127" s="3118">
        <v>0.1</v>
      </c>
      <c r="F127" s="3118">
        <v>15</v>
      </c>
    </row>
    <row r="128" spans="1:6" ht="13.5">
      <c r="A128" s="3118">
        <v>56</v>
      </c>
      <c r="B128" s="3756"/>
      <c r="C128" s="3118" t="s">
        <v>2775</v>
      </c>
      <c r="D128" s="3092" t="s">
        <v>2776</v>
      </c>
      <c r="E128" s="3118">
        <v>0.1</v>
      </c>
      <c r="F128" s="3118">
        <v>15</v>
      </c>
    </row>
    <row r="129" spans="1:6" ht="24">
      <c r="A129" s="3118">
        <v>57</v>
      </c>
      <c r="B129" s="3756"/>
      <c r="C129" s="3118" t="s">
        <v>2777</v>
      </c>
      <c r="D129" s="3092" t="s">
        <v>2778</v>
      </c>
      <c r="E129" s="3118">
        <v>0.1</v>
      </c>
      <c r="F129" s="3118">
        <v>15</v>
      </c>
    </row>
    <row r="130" spans="1:6" ht="24">
      <c r="A130" s="3118">
        <v>58</v>
      </c>
      <c r="B130" s="3756" t="s">
        <v>2779</v>
      </c>
      <c r="C130" s="3118" t="s">
        <v>2780</v>
      </c>
      <c r="D130" s="3092" t="s">
        <v>2781</v>
      </c>
      <c r="E130" s="3118">
        <v>0.1</v>
      </c>
      <c r="F130" s="3118">
        <v>15</v>
      </c>
    </row>
    <row r="131" spans="1:6" ht="13.5">
      <c r="A131" s="3118">
        <v>59</v>
      </c>
      <c r="B131" s="3756"/>
      <c r="C131" s="3118" t="s">
        <v>2782</v>
      </c>
      <c r="D131" s="3092" t="s">
        <v>2783</v>
      </c>
      <c r="E131" s="3118">
        <v>0.1</v>
      </c>
      <c r="F131" s="3118">
        <v>15</v>
      </c>
    </row>
    <row r="132" spans="1:6" ht="13.5">
      <c r="A132" s="3118">
        <v>60</v>
      </c>
      <c r="B132" s="3757" t="s">
        <v>2784</v>
      </c>
      <c r="C132" s="3118" t="s">
        <v>2785</v>
      </c>
      <c r="D132" s="3092" t="s">
        <v>2786</v>
      </c>
      <c r="E132" s="3118">
        <v>0.1</v>
      </c>
      <c r="F132" s="3118">
        <v>15</v>
      </c>
    </row>
    <row r="133" spans="1:6" ht="13.5">
      <c r="A133" s="3118">
        <v>61</v>
      </c>
      <c r="B133" s="3758"/>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6" t="s">
        <v>2792</v>
      </c>
      <c r="C135" s="3118" t="s">
        <v>2793</v>
      </c>
      <c r="D135" s="3092" t="s">
        <v>2794</v>
      </c>
      <c r="E135" s="3118">
        <v>0.1</v>
      </c>
      <c r="F135" s="3118">
        <v>15</v>
      </c>
    </row>
    <row r="136" spans="1:6" ht="13.5">
      <c r="A136" s="3118">
        <v>64</v>
      </c>
      <c r="B136" s="3756"/>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29143</v>
      </c>
      <c r="C2" s="2" t="s">
        <v>106</v>
      </c>
      <c r="D2" s="199"/>
      <c r="E2" s="199"/>
      <c r="F2" s="199"/>
      <c r="G2" s="199"/>
    </row>
    <row r="3" spans="1:7" s="200" customFormat="1" ht="18" customHeight="1" thickBot="1">
      <c r="A3" s="203" t="s">
        <v>58</v>
      </c>
      <c r="B3" s="204">
        <f ca="1">ROUND(B2*10000/'数据-汇总表'!E3,0)</f>
        <v>462778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13</v>
      </c>
      <c r="D10" s="845">
        <f>'数据-汇总表'!E6</f>
        <v>629.74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v>
      </c>
      <c r="D19" s="849">
        <f>'数据-汇总表'!E3</f>
        <v>629.74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4207</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4207</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28964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147</v>
      </c>
      <c r="D34" s="217"/>
      <c r="E34" s="220"/>
      <c r="F34" s="257">
        <f>IF('数据-取费表'!B24=0,1,'数据-取费表'!N16)</f>
        <v>1</v>
      </c>
      <c r="G34" s="219" t="s">
        <v>89</v>
      </c>
    </row>
    <row r="35" spans="1:7" ht="13.5" customHeight="1">
      <c r="A35" s="780" t="s">
        <v>351</v>
      </c>
      <c r="B35" s="215" t="s">
        <v>33</v>
      </c>
      <c r="C35" s="220">
        <f>ROUND(C34*F35,0)</f>
        <v>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v>
      </c>
      <c r="D37" s="217">
        <f>'数据-汇总表'!E3</f>
        <v>629.74</v>
      </c>
      <c r="E37" s="249">
        <f>'数据-取费表'!B35</f>
        <v>200</v>
      </c>
      <c r="F37" s="259"/>
      <c r="G37" s="261" t="s">
        <v>92</v>
      </c>
    </row>
    <row r="38" spans="1:7" ht="13.5" customHeight="1">
      <c r="A38" s="780" t="s">
        <v>354</v>
      </c>
      <c r="B38" s="215" t="s">
        <v>36</v>
      </c>
      <c r="C38" s="220">
        <f>ROUND(C34*F38,0)</f>
        <v>3</v>
      </c>
      <c r="D38" s="220"/>
      <c r="E38" s="220"/>
      <c r="F38" s="259">
        <f>'数据-取费表'!B36</f>
        <v>0.02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35</v>
      </c>
      <c r="D45" s="235">
        <f>C47</f>
        <v>4.0000000000000001E-3</v>
      </c>
      <c r="E45" s="236" t="s">
        <v>102</v>
      </c>
      <c r="F45" s="246"/>
      <c r="G45" s="247" t="s">
        <v>434</v>
      </c>
    </row>
    <row r="46" spans="1:7" s="214" customFormat="1" ht="13.5" customHeight="1">
      <c r="A46" s="780" t="s">
        <v>349</v>
      </c>
      <c r="B46" s="248" t="s">
        <v>427</v>
      </c>
      <c r="C46" s="249">
        <f>ROUND((C33+C39)*F27,0)</f>
        <v>35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232</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179</v>
      </c>
      <c r="D51" s="232"/>
      <c r="E51" s="232"/>
      <c r="F51" s="264"/>
      <c r="G51" s="234" t="s">
        <v>37</v>
      </c>
    </row>
    <row r="52" spans="1:7" s="208" customFormat="1" ht="16.5" thickBot="1">
      <c r="A52" s="265" t="s">
        <v>38</v>
      </c>
      <c r="B52" s="266"/>
      <c r="C52" s="267">
        <f ca="1">C31+C51</f>
        <v>29143</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1563</v>
      </c>
      <c r="E5" s="1491"/>
    </row>
    <row r="6" spans="1:5" ht="15.75">
      <c r="A6" s="1491"/>
      <c r="B6" s="3451"/>
      <c r="C6" s="1494" t="s">
        <v>911</v>
      </c>
      <c r="D6" s="850" t="str">
        <f ca="1">NUMBERSTRING(INT(D5*10000),2)&amp;"元整"</f>
        <v>壹仟伍佰陆拾叁万元整</v>
      </c>
      <c r="E6" s="1491"/>
    </row>
    <row r="7" spans="1:5" ht="15.75">
      <c r="A7" s="1491"/>
      <c r="B7" s="3456"/>
      <c r="C7" s="1495" t="s">
        <v>912</v>
      </c>
      <c r="D7" s="851">
        <f ca="1">结果表!H102</f>
        <v>42586</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1563</v>
      </c>
      <c r="E13" s="1491"/>
    </row>
    <row r="14" spans="1:5" ht="15.75">
      <c r="A14" s="1491"/>
      <c r="B14" s="3451"/>
      <c r="C14" s="1494" t="s">
        <v>911</v>
      </c>
      <c r="D14" s="850" t="str">
        <f ca="1">NUMBERSTRING(INT(D13*10000),2)&amp;"元整"</f>
        <v>壹仟伍佰陆拾叁万元整</v>
      </c>
      <c r="E14" s="1491"/>
    </row>
    <row r="15" spans="1:5" ht="15">
      <c r="A15" s="1491"/>
      <c r="B15" s="3456"/>
      <c r="C15" s="1495" t="s">
        <v>921</v>
      </c>
      <c r="D15" s="859">
        <f ca="1">结果表!H108</f>
        <v>42586</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31" sqref="I31"/>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2842</v>
      </c>
      <c r="B1" s="3770"/>
      <c r="C1" s="3770"/>
      <c r="D1" s="3770"/>
      <c r="E1" s="3770"/>
      <c r="F1" s="3770"/>
      <c r="G1" s="3771"/>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68"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69"/>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3184</v>
      </c>
      <c r="B1" s="3772"/>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3235</v>
      </c>
      <c r="B1" s="3773"/>
      <c r="C1" s="3773"/>
      <c r="D1" s="3773"/>
      <c r="E1" s="3773"/>
      <c r="F1" s="3774"/>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I31" sqref="I31"/>
    </sheetView>
  </sheetViews>
  <sheetFormatPr defaultRowHeight="13.5"/>
  <cols>
    <col min="1" max="1" width="13.875" customWidth="1"/>
    <col min="11" max="17" width="0" hidden="1" customWidth="1"/>
    <col min="25" max="30" width="0" hidden="1" customWidth="1"/>
  </cols>
  <sheetData>
    <row r="1" spans="1:30">
      <c r="A1" s="3221">
        <f>基准地价修正!G23</f>
        <v>45427</v>
      </c>
      <c r="B1" s="3210" t="s">
        <v>3373</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3377</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3379</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3380</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3372</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2828</v>
      </c>
    </row>
    <row r="22" spans="1:30" s="3009" customFormat="1"/>
    <row r="23" spans="1:30" s="3209" customFormat="1" ht="12.75">
      <c r="B23" s="3210" t="s">
        <v>3374</v>
      </c>
      <c r="C23" s="3211"/>
      <c r="D23" s="3211"/>
      <c r="E23" s="3211"/>
      <c r="F23" s="3211"/>
      <c r="G23" s="3211"/>
      <c r="H23" s="3211"/>
      <c r="I23" s="3211"/>
      <c r="J23" s="3165"/>
      <c r="K23" s="3211" t="s">
        <v>2829</v>
      </c>
      <c r="L23" s="3211"/>
      <c r="M23" s="3211"/>
      <c r="N23" s="3211"/>
      <c r="O23" s="3211"/>
      <c r="P23" s="3211"/>
      <c r="Q23" s="3165"/>
      <c r="R23" s="3775" t="s">
        <v>2830</v>
      </c>
      <c r="S23" s="3776"/>
      <c r="T23" s="3776"/>
      <c r="U23" s="3776"/>
      <c r="V23" s="3776"/>
      <c r="W23" s="3776"/>
      <c r="X23" s="3165"/>
      <c r="Y23" s="3775" t="s">
        <v>2831</v>
      </c>
      <c r="Z23" s="3776"/>
      <c r="AA23" s="3776"/>
      <c r="AB23" s="3776"/>
      <c r="AC23" s="3776"/>
      <c r="AD23" s="3776"/>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3376</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3377</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3381</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3380</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3375</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I31" sqref="I3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15" zoomScaleNormal="115" workbookViewId="0">
      <selection activeCell="L35" sqref="L35"/>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629.74</v>
      </c>
      <c r="C4" s="854">
        <f>项目基本情况!C18</f>
        <v>0</v>
      </c>
      <c r="D4" s="854">
        <f>结果表!D118</f>
        <v>0</v>
      </c>
      <c r="E4" s="854">
        <f>结果表!E118</f>
        <v>0</v>
      </c>
      <c r="F4" s="854">
        <f>结果表!F118</f>
        <v>0</v>
      </c>
      <c r="G4" s="854">
        <f>结果表!G118</f>
        <v>0</v>
      </c>
      <c r="H4" s="854">
        <f ca="1">结果表!H118</f>
        <v>1563</v>
      </c>
      <c r="I4" s="854">
        <f ca="1">结果表!I118</f>
        <v>42586</v>
      </c>
    </row>
    <row r="5" spans="1:9" ht="30" customHeight="1">
      <c r="A5" s="3463" t="s">
        <v>927</v>
      </c>
      <c r="B5" s="3463"/>
      <c r="C5" s="3463"/>
      <c r="D5" s="3463" t="str">
        <f>结果表!D119</f>
        <v>零元整</v>
      </c>
      <c r="E5" s="3463"/>
      <c r="F5" s="3463" t="str">
        <f>结果表!F119</f>
        <v>零元整</v>
      </c>
      <c r="G5" s="3463"/>
      <c r="H5" s="3463" t="str">
        <f ca="1">结果表!H119</f>
        <v>壹仟伍佰陆拾叁万元整</v>
      </c>
      <c r="I5" s="3463"/>
    </row>
    <row r="6" spans="1:9" ht="15.75">
      <c r="A6" s="3462" t="str">
        <f>结果表!A120</f>
        <v>估价师知悉的法定优先受偿款</v>
      </c>
      <c r="B6" s="3462"/>
      <c r="C6" s="3462"/>
      <c r="D6" s="3462">
        <f>结果表!D120</f>
        <v>0</v>
      </c>
      <c r="E6" s="3462"/>
      <c r="F6" s="3462"/>
      <c r="G6" s="3462"/>
      <c r="H6" s="3462"/>
      <c r="I6" s="3462"/>
    </row>
    <row r="7" spans="1:9" ht="15">
      <c r="A7" s="3463" t="s">
        <v>927</v>
      </c>
      <c r="B7" s="3463"/>
      <c r="C7" s="3463"/>
      <c r="D7" s="3464" t="str">
        <f>结果表!D121</f>
        <v>零元整</v>
      </c>
      <c r="E7" s="3465"/>
      <c r="F7" s="3465"/>
      <c r="G7" s="3465"/>
      <c r="H7" s="3465"/>
      <c r="I7" s="3466"/>
    </row>
    <row r="8" spans="1:9" ht="15.75">
      <c r="A8" s="3462" t="str">
        <f>结果表!A122</f>
        <v>房地产抵押价值</v>
      </c>
      <c r="B8" s="3462"/>
      <c r="C8" s="3462"/>
      <c r="D8" s="3462">
        <f ca="1">结果表!D122</f>
        <v>1563</v>
      </c>
      <c r="E8" s="3462"/>
      <c r="F8" s="3462"/>
      <c r="G8" s="3462"/>
      <c r="H8" s="3462"/>
      <c r="I8" s="3462"/>
    </row>
    <row r="9" spans="1:9" ht="15">
      <c r="A9" s="3463" t="s">
        <v>927</v>
      </c>
      <c r="B9" s="3463"/>
      <c r="C9" s="3463"/>
      <c r="D9" s="3463" t="str">
        <f ca="1">结果表!D123</f>
        <v>壹仟伍佰陆拾叁万元整</v>
      </c>
      <c r="E9" s="3463"/>
      <c r="F9" s="3463"/>
      <c r="G9" s="3463"/>
      <c r="H9" s="3463"/>
      <c r="I9" s="3463"/>
    </row>
    <row r="10" spans="1:9" ht="15.75">
      <c r="A10" s="3462" t="str">
        <f>结果表!A124</f>
        <v/>
      </c>
      <c r="B10" s="3462"/>
      <c r="C10" s="3462"/>
      <c r="D10" s="3462" t="str">
        <f>结果表!D124</f>
        <v>——</v>
      </c>
      <c r="E10" s="3462"/>
      <c r="F10" s="3462"/>
      <c r="G10" s="3462"/>
      <c r="H10" s="3462"/>
      <c r="I10" s="3462"/>
    </row>
    <row r="11" spans="1:9" ht="15">
      <c r="A11" s="3463" t="s">
        <v>927</v>
      </c>
      <c r="B11" s="3463"/>
      <c r="C11" s="3463"/>
      <c r="D11" s="3463" t="e">
        <f>结果表!D125</f>
        <v>#VALUE!</v>
      </c>
      <c r="E11" s="3463"/>
      <c r="F11" s="3463"/>
      <c r="G11" s="3463"/>
      <c r="H11" s="3463"/>
      <c r="I11" s="3463"/>
    </row>
    <row r="12" spans="1:9" ht="15.75">
      <c r="A12" s="3462" t="str">
        <f>结果表!A126</f>
        <v/>
      </c>
      <c r="B12" s="3462"/>
      <c r="C12" s="3462"/>
      <c r="D12" s="3462" t="str">
        <f>结果表!D126</f>
        <v>——</v>
      </c>
      <c r="E12" s="3462"/>
      <c r="F12" s="3462"/>
      <c r="G12" s="3462"/>
      <c r="H12" s="3462"/>
      <c r="I12" s="3462"/>
    </row>
    <row r="13" spans="1:9" ht="15.75" thickBot="1">
      <c r="A13" s="3460" t="s">
        <v>927</v>
      </c>
      <c r="B13" s="3460"/>
      <c r="C13" s="3460"/>
      <c r="D13" s="3460" t="e">
        <f>结果表!D127</f>
        <v>#VALUE!</v>
      </c>
      <c r="E13" s="3460"/>
      <c r="F13" s="3460"/>
      <c r="G13" s="3460"/>
      <c r="H13" s="3460"/>
      <c r="I13" s="3460"/>
    </row>
    <row r="14" spans="1:9" ht="15" thickTop="1">
      <c r="A14" s="3461" t="s">
        <v>932</v>
      </c>
      <c r="B14" s="3461"/>
      <c r="C14" s="3461"/>
      <c r="D14" s="3461"/>
      <c r="E14" s="3461"/>
      <c r="F14" s="3461"/>
      <c r="G14" s="3461"/>
      <c r="H14" s="3461"/>
      <c r="I14" s="346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69" t="str">
        <f>IF(项目基本情况!B8="抵押","4.本次评估估价师所知悉的法定优先受偿款情况说明如下：","——")</f>
        <v>4.本次评估估价师所知悉的法定优先受偿款情况说明如下：</v>
      </c>
      <c r="B14" s="3474"/>
      <c r="C14" s="3474"/>
      <c r="D14" s="3474"/>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1" t="s">
        <v>943</v>
      </c>
      <c r="B16" s="3471"/>
      <c r="C16" s="3471"/>
      <c r="D16" s="3471"/>
    </row>
    <row r="17" spans="1:4" ht="144" customHeight="1">
      <c r="A17" s="3471" t="s">
        <v>944</v>
      </c>
      <c r="B17" s="3471"/>
      <c r="C17" s="3471"/>
      <c r="D17" s="3471"/>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945</v>
      </c>
      <c r="B22" s="3473"/>
      <c r="C22" s="3473"/>
      <c r="D22" s="347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45427</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2159</v>
      </c>
      <c r="B17" s="3486"/>
      <c r="C17" s="3486"/>
      <c r="D17" s="3486"/>
      <c r="E17" s="3486"/>
      <c r="F17" s="3486"/>
      <c r="G17" s="3486"/>
      <c r="H17" s="3486"/>
    </row>
    <row r="18" spans="1:8" ht="24" customHeight="1">
      <c r="A18" s="3487" t="s">
        <v>2160</v>
      </c>
      <c r="B18" s="3487"/>
      <c r="C18" s="3487"/>
      <c r="D18" s="2343"/>
      <c r="E18" s="3488" t="s">
        <v>2161</v>
      </c>
      <c r="F18" s="3487"/>
      <c r="G18" s="3487"/>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151</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2024-05-15T08:21:36Z</dcterms:modified>
</cp:coreProperties>
</file>