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10" firstSheet="2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74" l="1"/>
  <c r="C15" i="74"/>
  <c r="B15" i="74"/>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8" i="12"/>
  <c r="F6" i="83"/>
  <c r="F8" i="83"/>
  <c r="F7" i="83"/>
  <c r="F9" i="83"/>
  <c r="C6" i="83"/>
  <c r="F11" i="83"/>
  <c r="C10" i="83"/>
  <c r="C5" i="83"/>
  <c r="C32" i="83"/>
  <c r="C33" i="83"/>
  <c r="R9"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9" i="1"/>
  <c r="F41" i="83"/>
  <c r="C40" i="83"/>
  <c r="M6" i="83"/>
  <c r="M8" i="83"/>
  <c r="M7" i="83"/>
  <c r="M9" i="83"/>
  <c r="J6" i="83"/>
  <c r="M11" i="83"/>
  <c r="J10" i="83"/>
  <c r="J5" i="83"/>
  <c r="J26" i="83"/>
  <c r="J29" i="83"/>
  <c r="J60" i="83"/>
  <c r="L46" i="83"/>
  <c r="B2" i="83"/>
  <c r="F8" i="12"/>
  <c r="F6" i="84"/>
  <c r="F8" i="84"/>
  <c r="F7" i="84"/>
  <c r="F9" i="84"/>
  <c r="C6" i="84"/>
  <c r="F11" i="84"/>
  <c r="C10" i="84"/>
  <c r="C5" i="84"/>
  <c r="C32" i="84"/>
  <c r="C33" i="84"/>
  <c r="R11" i="1"/>
  <c r="F35" i="84"/>
  <c r="C34" i="84"/>
  <c r="C31" i="84"/>
  <c r="C14" i="84"/>
  <c r="C15" i="84"/>
  <c r="F16" i="84"/>
  <c r="C16" i="84"/>
  <c r="F43"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11" i="1"/>
  <c r="F41" i="84"/>
  <c r="C40" i="84"/>
  <c r="M6" i="84"/>
  <c r="M8" i="84"/>
  <c r="M7" i="84"/>
  <c r="M9" i="84"/>
  <c r="J6" i="84"/>
  <c r="M11" i="84"/>
  <c r="J10" i="84"/>
  <c r="J5" i="84"/>
  <c r="J26" i="84"/>
  <c r="J29" i="84"/>
  <c r="J60" i="84"/>
  <c r="L46" i="84"/>
  <c r="B2" i="84"/>
  <c r="H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C17" i="9"/>
  <c r="D17" i="9"/>
  <c r="C18" i="9"/>
  <c r="D18" i="9"/>
  <c r="G19" i="9"/>
  <c r="C32" i="9"/>
  <c r="H118" i="9"/>
  <c r="I118" i="9"/>
  <c r="B3" i="68"/>
  <c r="C57" i="68"/>
  <c r="D35" i="9"/>
  <c r="C35" i="9"/>
  <c r="F118" i="9"/>
  <c r="G118" i="9"/>
  <c r="J34" i="9"/>
  <c r="L26" i="12"/>
  <c r="L23" i="12"/>
  <c r="L16" i="12"/>
  <c r="L14" i="12"/>
  <c r="L13" i="12"/>
  <c r="L7" i="12"/>
  <c r="S18" i="1"/>
  <c r="M20" i="1"/>
  <c r="J74" i="80"/>
  <c r="I63" i="80"/>
  <c r="H74" i="80"/>
  <c r="J73" i="80"/>
  <c r="J72" i="80"/>
  <c r="J71" i="80"/>
  <c r="J68" i="80"/>
  <c r="P66" i="80"/>
  <c r="M68" i="80"/>
  <c r="J69" i="80"/>
  <c r="F1201" i="79"/>
  <c r="H1201" i="79"/>
  <c r="F1204" i="79"/>
  <c r="H1203" i="79"/>
  <c r="F1203" i="79"/>
  <c r="H38" i="68"/>
  <c r="H37" i="68"/>
  <c r="K6" i="1"/>
  <c r="K7" i="1"/>
  <c r="K8" i="1"/>
  <c r="K9" i="1"/>
  <c r="K10" i="1"/>
  <c r="Y13" i="3"/>
  <c r="G24" i="6"/>
  <c r="E24" i="6"/>
  <c r="K11" i="1"/>
  <c r="K12" i="1"/>
  <c r="K13" i="1"/>
  <c r="K14" i="1"/>
  <c r="K15" i="1"/>
  <c r="K16" i="1"/>
  <c r="K17" i="1"/>
  <c r="H18" i="1"/>
  <c r="F35" i="6"/>
  <c r="H71" i="80"/>
  <c r="P118" i="78"/>
  <c r="G65" i="80"/>
  <c r="N121" i="77"/>
  <c r="F117" i="88"/>
  <c r="F118" i="88"/>
  <c r="F119" i="88"/>
  <c r="F120" i="88"/>
  <c r="F121" i="88"/>
  <c r="F122" i="88"/>
  <c r="F123" i="88"/>
  <c r="F124" i="88"/>
  <c r="F125" i="88"/>
  <c r="F116" i="88"/>
  <c r="F126" i="88"/>
  <c r="G126" i="88"/>
  <c r="H126" i="88"/>
  <c r="I126" i="88"/>
  <c r="J126" i="88"/>
  <c r="K126" i="88"/>
  <c r="L126" i="88"/>
  <c r="M126" i="88"/>
  <c r="F129" i="88"/>
  <c r="M98" i="78"/>
  <c r="C118" i="78"/>
  <c r="E97" i="77"/>
  <c r="F97" i="77"/>
  <c r="D135" i="77"/>
  <c r="E135" i="77"/>
  <c r="L97" i="77"/>
  <c r="J97" i="77"/>
  <c r="F135" i="77"/>
  <c r="G97" i="77"/>
  <c r="H97" i="77"/>
  <c r="G135" i="77"/>
  <c r="M96" i="77"/>
  <c r="M97" i="77"/>
  <c r="J135" i="77"/>
  <c r="C135" i="77"/>
  <c r="G119" i="77"/>
  <c r="H119" i="77"/>
  <c r="G139" i="77"/>
  <c r="L119" i="77"/>
  <c r="F139" i="77"/>
  <c r="E119" i="77"/>
  <c r="F119" i="77"/>
  <c r="D139" i="77"/>
  <c r="G113" i="77"/>
  <c r="H113" i="77"/>
  <c r="G138" i="77"/>
  <c r="L113" i="77"/>
  <c r="F138" i="77"/>
  <c r="E113" i="77"/>
  <c r="D138" i="77"/>
  <c r="H107" i="77"/>
  <c r="G107" i="77"/>
  <c r="G137" i="77"/>
  <c r="L107" i="77"/>
  <c r="F137" i="77"/>
  <c r="R111" i="77"/>
  <c r="F106" i="77"/>
  <c r="E106" i="77"/>
  <c r="E107" i="77"/>
  <c r="F107" i="77"/>
  <c r="D137" i="77"/>
  <c r="M101" i="77"/>
  <c r="K101" i="77"/>
  <c r="J136" i="77"/>
  <c r="G101" i="77"/>
  <c r="H101" i="77"/>
  <c r="G136" i="77"/>
  <c r="J101" i="77"/>
  <c r="L101" i="77"/>
  <c r="F136" i="77"/>
  <c r="E101" i="77"/>
  <c r="F101" i="77"/>
  <c r="D136" i="77"/>
  <c r="G134" i="77"/>
  <c r="F134" i="77"/>
  <c r="D134" i="77"/>
  <c r="J133" i="77"/>
  <c r="G133" i="77"/>
  <c r="D133" i="77"/>
  <c r="C133" i="77"/>
  <c r="C134" i="77"/>
  <c r="C136" i="77"/>
  <c r="C137" i="77"/>
  <c r="C138" i="77"/>
  <c r="C139" i="77"/>
  <c r="J132" i="77"/>
  <c r="F132" i="77"/>
  <c r="G132" i="77"/>
  <c r="D132" i="77"/>
  <c r="C132" i="77"/>
  <c r="P27" i="88"/>
  <c r="Q27" i="88"/>
  <c r="O27" i="88"/>
  <c r="F93" i="77"/>
  <c r="F113" i="77"/>
  <c r="F120" i="77"/>
  <c r="E65" i="80"/>
  <c r="M13" i="3"/>
  <c r="BD13" i="3"/>
  <c r="I93" i="77"/>
  <c r="I97" i="77"/>
  <c r="I101" i="77"/>
  <c r="I107" i="77"/>
  <c r="I113" i="77"/>
  <c r="I119" i="77"/>
  <c r="I120" i="77"/>
  <c r="O13" i="3"/>
  <c r="BE13" i="3"/>
  <c r="H93" i="77"/>
  <c r="H120" i="77"/>
  <c r="BJ13" i="3"/>
  <c r="BA13" i="3"/>
  <c r="J107" i="77"/>
  <c r="J113" i="77"/>
  <c r="J119" i="77"/>
  <c r="J120" i="77"/>
  <c r="AD13" i="3"/>
  <c r="BM13" i="3"/>
  <c r="K93" i="77"/>
  <c r="K97" i="77"/>
  <c r="K107" i="77"/>
  <c r="K113" i="77"/>
  <c r="K119" i="77"/>
  <c r="K120" i="77"/>
  <c r="AJ13" i="3"/>
  <c r="BP13" i="3"/>
  <c r="L93" i="77"/>
  <c r="L120" i="77"/>
  <c r="AL13" i="3"/>
  <c r="BQ13" i="3"/>
  <c r="M93" i="77"/>
  <c r="M107" i="77"/>
  <c r="M113" i="77"/>
  <c r="M119" i="77"/>
  <c r="M120" i="77"/>
  <c r="AN13" i="3"/>
  <c r="BR13" i="3"/>
  <c r="BL13" i="3"/>
  <c r="AZ13" i="3"/>
  <c r="AZ5" i="3"/>
  <c r="E3" i="6"/>
  <c r="E93" i="77"/>
  <c r="G93" i="77"/>
  <c r="N93" i="77"/>
  <c r="M91" i="78"/>
  <c r="N97" i="77"/>
  <c r="M92" i="78"/>
  <c r="N101" i="77"/>
  <c r="M93" i="78"/>
  <c r="N107" i="77"/>
  <c r="M94" i="78"/>
  <c r="N113" i="77"/>
  <c r="M95" i="78"/>
  <c r="N119" i="77"/>
  <c r="M96" i="78"/>
  <c r="M89" i="78"/>
  <c r="A3" i="3"/>
  <c r="H5" i="88"/>
  <c r="D9" i="88"/>
  <c r="F5" i="88"/>
  <c r="F6" i="88"/>
  <c r="H6" i="88"/>
  <c r="D5" i="88"/>
  <c r="D6" i="88"/>
  <c r="E66" i="80"/>
  <c r="F22" i="6"/>
  <c r="E22" i="6"/>
  <c r="E68" i="80"/>
  <c r="E69" i="80"/>
  <c r="F21" i="6"/>
  <c r="E21" i="6"/>
  <c r="BA5" i="3"/>
  <c r="E19" i="6"/>
  <c r="E27" i="6"/>
  <c r="G69" i="80"/>
  <c r="E67" i="80"/>
  <c r="E64" i="80"/>
  <c r="K13" i="3"/>
  <c r="F20" i="6"/>
  <c r="E20" i="6"/>
  <c r="W13" i="3"/>
  <c r="G26" i="6"/>
  <c r="E26" i="6"/>
  <c r="BC13" i="3"/>
  <c r="BI13" i="3"/>
  <c r="C110" i="78"/>
  <c r="C1204" i="79"/>
  <c r="C1195" i="79"/>
  <c r="E5" i="35"/>
  <c r="G37" i="35"/>
  <c r="N66" i="80"/>
  <c r="M66" i="80"/>
  <c r="D6" i="12"/>
  <c r="T37" i="35"/>
  <c r="D66" i="35"/>
  <c r="E66" i="35"/>
  <c r="H16" i="35"/>
  <c r="AB16" i="35"/>
  <c r="H27" i="35"/>
  <c r="AB27" i="35"/>
  <c r="T38" i="35"/>
  <c r="F16" i="35"/>
  <c r="AA16" i="35"/>
  <c r="F27" i="35"/>
  <c r="AA27" i="35"/>
  <c r="R38" i="35"/>
  <c r="J16" i="35"/>
  <c r="AC16" i="35"/>
  <c r="J27" i="35"/>
  <c r="AC27" i="35"/>
  <c r="V38" i="35"/>
  <c r="R39" i="35"/>
  <c r="C38" i="35"/>
  <c r="H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BE5" i="3"/>
  <c r="E8" i="6"/>
  <c r="F27" i="6"/>
  <c r="G27" i="6"/>
  <c r="BP5" i="3"/>
  <c r="G29"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G1202"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C76" i="85"/>
  <c r="C76" i="84"/>
  <c r="C76" i="83"/>
  <c r="Q71" i="85"/>
  <c r="P61" i="85"/>
  <c r="D22" i="85"/>
  <c r="D23" i="85"/>
  <c r="Q71" i="84"/>
  <c r="D24" i="84"/>
  <c r="P61" i="84"/>
  <c r="D22" i="84"/>
  <c r="Q71" i="83"/>
  <c r="P61" i="83"/>
  <c r="D22" i="83"/>
  <c r="D23" i="83"/>
  <c r="M28" i="85"/>
  <c r="F6" i="85"/>
  <c r="F43" i="85"/>
  <c r="M29" i="85"/>
  <c r="M6" i="85"/>
  <c r="F7" i="85"/>
  <c r="F42" i="85"/>
  <c r="M8" i="85"/>
  <c r="M9" i="85"/>
  <c r="M23" i="85"/>
  <c r="F37" i="85"/>
  <c r="F36" i="85"/>
  <c r="F9" i="85"/>
  <c r="L47" i="85"/>
  <c r="F13" i="85"/>
  <c r="M10" i="1"/>
  <c r="BQ5" i="3"/>
  <c r="F28" i="6"/>
  <c r="BR5" i="3"/>
  <c r="G28" i="6"/>
  <c r="E28" i="6"/>
  <c r="K23" i="6"/>
  <c r="S10" i="1"/>
  <c r="T10" i="1"/>
  <c r="C14" i="85"/>
  <c r="F26" i="85"/>
  <c r="F8" i="85"/>
  <c r="M24" i="85"/>
  <c r="L48" i="85"/>
  <c r="F38" i="85"/>
  <c r="M22" i="85"/>
  <c r="F16" i="85"/>
  <c r="J15" i="85"/>
  <c r="M27" i="85"/>
  <c r="F40" i="85"/>
  <c r="M26" i="85"/>
  <c r="J15" i="84"/>
  <c r="M27" i="84"/>
  <c r="M26" i="84"/>
  <c r="M23" i="84"/>
  <c r="M24" i="84"/>
  <c r="M22" i="84"/>
  <c r="M28" i="84"/>
  <c r="L47" i="84"/>
  <c r="M26" i="83"/>
  <c r="M23" i="83"/>
  <c r="L47" i="83"/>
  <c r="M24" i="83"/>
  <c r="J15" i="83"/>
  <c r="M27" i="83"/>
  <c r="M22" i="83"/>
  <c r="M28" i="83"/>
  <c r="F68" i="85"/>
  <c r="F66" i="85"/>
  <c r="L57" i="85"/>
  <c r="L56" i="85"/>
  <c r="J60" i="85"/>
  <c r="Q48" i="85"/>
  <c r="L60" i="85"/>
  <c r="J59" i="85"/>
  <c r="J53" i="85"/>
  <c r="I54" i="85"/>
  <c r="J57" i="85"/>
  <c r="J55" i="85"/>
  <c r="J58" i="85"/>
  <c r="Q50" i="85"/>
  <c r="F51" i="85"/>
  <c r="C27" i="85"/>
  <c r="C15" i="85"/>
  <c r="C18" i="85"/>
  <c r="N59" i="85"/>
  <c r="L58" i="85"/>
  <c r="M59" i="85"/>
  <c r="L59" i="85"/>
  <c r="F64" i="85"/>
  <c r="F65" i="85"/>
  <c r="F50" i="85"/>
  <c r="M7" i="85"/>
  <c r="J6" i="85"/>
  <c r="F71" i="85"/>
  <c r="C6" i="85"/>
  <c r="I54" i="84"/>
  <c r="N59" i="84"/>
  <c r="L58" i="84"/>
  <c r="M59" i="84"/>
  <c r="L59" i="84"/>
  <c r="F68" i="84"/>
  <c r="F51" i="84"/>
  <c r="F64" i="84"/>
  <c r="L56" i="84"/>
  <c r="L60" i="84"/>
  <c r="J57" i="84"/>
  <c r="J55" i="84"/>
  <c r="J58" i="84"/>
  <c r="Q50" i="84"/>
  <c r="Q48" i="84"/>
  <c r="J59" i="84"/>
  <c r="F65" i="84"/>
  <c r="F66" i="84"/>
  <c r="I54" i="83"/>
  <c r="F66" i="83"/>
  <c r="F68" i="83"/>
  <c r="F64" i="83"/>
  <c r="J57" i="83"/>
  <c r="J55" i="83"/>
  <c r="J58" i="83"/>
  <c r="Q50" i="83"/>
  <c r="Q48" i="83"/>
  <c r="L60" i="83"/>
  <c r="J59" i="83"/>
  <c r="F51" i="83"/>
  <c r="N59" i="83"/>
  <c r="L58" i="83"/>
  <c r="M59" i="83"/>
  <c r="L59" i="83"/>
  <c r="F65" i="83"/>
  <c r="V20" i="1"/>
  <c r="U19" i="1"/>
  <c r="U21" i="1"/>
  <c r="V21" i="1"/>
  <c r="U20" i="1"/>
  <c r="I7" i="6"/>
  <c r="O98" i="78"/>
  <c r="N6" i="1"/>
  <c r="N7" i="1"/>
  <c r="N8" i="1"/>
  <c r="N9" i="1"/>
  <c r="N10" i="1"/>
  <c r="N11" i="1"/>
  <c r="N12" i="1"/>
  <c r="N13" i="1"/>
  <c r="N14" i="1"/>
  <c r="O90" i="78"/>
  <c r="O91" i="78"/>
  <c r="O92" i="78"/>
  <c r="O93" i="78"/>
  <c r="O94" i="78"/>
  <c r="O95" i="78"/>
  <c r="O96" i="78"/>
  <c r="O89" i="78"/>
  <c r="P90" i="78"/>
  <c r="P91" i="78"/>
  <c r="P92" i="78"/>
  <c r="P93" i="78"/>
  <c r="P94" i="78"/>
  <c r="P95" i="78"/>
  <c r="P96" i="78"/>
  <c r="P89" i="78"/>
  <c r="P101" i="78"/>
  <c r="E120" i="77"/>
  <c r="G120" i="77"/>
  <c r="N120" i="77"/>
  <c r="B104" i="78"/>
  <c r="B105" i="78"/>
  <c r="M97" i="78"/>
  <c r="M90" i="78"/>
  <c r="M3" i="78"/>
  <c r="C98" i="78"/>
  <c r="L14" i="1"/>
  <c r="L13" i="1"/>
  <c r="L12" i="1"/>
  <c r="L11" i="1"/>
  <c r="L8" i="1"/>
  <c r="L7" i="1"/>
  <c r="C16" i="85"/>
  <c r="C17" i="85"/>
  <c r="L46" i="85"/>
  <c r="C19" i="85"/>
  <c r="J18" i="85"/>
  <c r="C32" i="85"/>
  <c r="C33" i="85"/>
  <c r="Q61" i="85"/>
  <c r="Q74" i="85"/>
  <c r="Q73" i="85"/>
  <c r="Q60" i="85"/>
  <c r="F1" i="85"/>
  <c r="Q52" i="85"/>
  <c r="Q66" i="85"/>
  <c r="Q57" i="85"/>
  <c r="C49" i="85"/>
  <c r="Q52" i="84"/>
  <c r="Q61" i="84"/>
  <c r="Q74" i="84"/>
  <c r="Q66" i="84"/>
  <c r="Q57" i="84"/>
  <c r="Q73" i="84"/>
  <c r="Q60" i="84"/>
  <c r="Q73" i="83"/>
  <c r="Q60" i="83"/>
  <c r="Q52" i="83"/>
  <c r="Q66" i="83"/>
  <c r="Q57" i="83"/>
  <c r="Q61" i="83"/>
  <c r="Q74" i="83"/>
  <c r="L56" i="83"/>
  <c r="C20" i="85"/>
  <c r="C26" i="85"/>
  <c r="J124" i="77"/>
  <c r="G25" i="6"/>
  <c r="G23" i="6"/>
  <c r="G22" i="6"/>
  <c r="F19" i="6"/>
  <c r="I118" i="78"/>
  <c r="AH13" i="3"/>
  <c r="J100" i="77"/>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H118" i="78"/>
  <c r="D3" i="4"/>
  <c r="I52" i="80"/>
  <c r="I44" i="80"/>
  <c r="I36" i="80"/>
  <c r="K36" i="80"/>
  <c r="I32" i="80"/>
  <c r="I26" i="80"/>
  <c r="I22" i="80"/>
  <c r="I14" i="80"/>
  <c r="E72" i="80"/>
  <c r="O19" i="80"/>
  <c r="Q118" i="78"/>
  <c r="K118" i="78"/>
  <c r="J118" i="78"/>
  <c r="G118" i="78"/>
  <c r="F118" i="78"/>
  <c r="E118" i="78"/>
  <c r="D118" i="78"/>
  <c r="C117" i="78"/>
  <c r="R116" i="78"/>
  <c r="C116" i="78"/>
  <c r="R115" i="78"/>
  <c r="C115" i="78"/>
  <c r="R114" i="78"/>
  <c r="C114" i="78"/>
  <c r="R113" i="78"/>
  <c r="C113" i="78"/>
  <c r="R112" i="78"/>
  <c r="C112" i="78"/>
  <c r="R111" i="78"/>
  <c r="C111" i="78"/>
  <c r="R110" i="78"/>
  <c r="R109" i="78"/>
  <c r="C109"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H85" i="77"/>
  <c r="O119" i="77"/>
  <c r="O113" i="77"/>
  <c r="N108" i="77"/>
  <c r="N109" i="77"/>
  <c r="N106" i="77"/>
  <c r="L100" i="77"/>
  <c r="J96" i="77"/>
  <c r="N96" i="77"/>
  <c r="L96" i="77"/>
  <c r="K85" i="77"/>
  <c r="F85" i="77"/>
  <c r="G85" i="77"/>
  <c r="I85" i="77"/>
  <c r="L85" i="77"/>
  <c r="M85"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2" i="77"/>
  <c r="N123" i="77"/>
  <c r="N124" i="77"/>
  <c r="N125" i="77"/>
  <c r="N126" i="77"/>
  <c r="N127" i="77"/>
  <c r="N128" i="77"/>
  <c r="N129" i="77"/>
  <c r="N130" i="77"/>
  <c r="N131" i="77"/>
  <c r="N132" i="77"/>
  <c r="N133" i="77"/>
  <c r="N134" i="77"/>
  <c r="B3" i="77"/>
  <c r="N85" i="77"/>
  <c r="O85" i="77"/>
  <c r="O107" i="77"/>
  <c r="O93"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4" i="3"/>
  <c r="BP15" i="3"/>
  <c r="BP16" i="3"/>
  <c r="BP17" i="3"/>
  <c r="M8" i="1"/>
  <c r="F23" i="15"/>
  <c r="D24" i="15"/>
  <c r="E23" i="6"/>
  <c r="O10" i="1"/>
  <c r="P10" i="1"/>
  <c r="E25" i="6"/>
  <c r="M13" i="1"/>
  <c r="O13" i="1"/>
  <c r="P13" i="1"/>
  <c r="BB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AC5" i="3"/>
  <c r="AZ549" i="3"/>
  <c r="AZ506" i="3"/>
  <c r="AZ496" i="3"/>
  <c r="G548" i="3"/>
  <c r="G538" i="3"/>
  <c r="G520" i="3"/>
  <c r="G502" i="3"/>
  <c r="BS5" i="3"/>
  <c r="BN5" i="3"/>
  <c r="AZ343" i="3"/>
  <c r="BK5"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M6" i="1"/>
  <c r="O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B9" i="1"/>
  <c r="E9"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AE10" i="1"/>
  <c r="M29" i="83"/>
  <c r="M29" i="84"/>
  <c r="F41" i="85"/>
  <c r="M24" i="15"/>
  <c r="E11" i="76"/>
  <c r="F3" i="73"/>
  <c r="M23" i="67"/>
  <c r="AO6" i="1"/>
  <c r="M8" i="67"/>
  <c r="M27" i="67"/>
  <c r="F7" i="67"/>
  <c r="E13" i="76"/>
  <c r="D2" i="33"/>
  <c r="L47" i="67"/>
  <c r="C76" i="15"/>
  <c r="AO12" i="1"/>
  <c r="M29" i="67"/>
  <c r="D7" i="73"/>
  <c r="B9" i="76"/>
  <c r="B13" i="76"/>
  <c r="B12" i="76"/>
  <c r="M24" i="67"/>
  <c r="F8" i="67"/>
  <c r="M22" i="67"/>
  <c r="D3" i="73"/>
  <c r="M28" i="67"/>
  <c r="D2" i="36"/>
  <c r="F42" i="67"/>
  <c r="M23" i="15"/>
  <c r="M27" i="15"/>
  <c r="M26" i="67"/>
  <c r="M26" i="15"/>
  <c r="M9" i="67"/>
  <c r="D2" i="35"/>
  <c r="L48" i="67"/>
  <c r="B10" i="76"/>
  <c r="F16" i="67"/>
  <c r="D2" i="21"/>
  <c r="M6" i="67"/>
  <c r="F26" i="67"/>
  <c r="F38" i="67"/>
  <c r="J15" i="15"/>
  <c r="F6" i="73"/>
  <c r="E7" i="76"/>
  <c r="F13" i="67"/>
  <c r="C76" i="67"/>
  <c r="E2" i="68"/>
  <c r="D4" i="73"/>
  <c r="AO13" i="1"/>
  <c r="F37" i="67"/>
  <c r="F43" i="67"/>
  <c r="F20" i="31"/>
  <c r="F40" i="67"/>
  <c r="F5" i="73"/>
  <c r="E12" i="76"/>
  <c r="L47" i="15"/>
  <c r="F9" i="67"/>
  <c r="B8" i="76"/>
  <c r="F7" i="73"/>
  <c r="G16" i="1"/>
  <c r="F10" i="39"/>
  <c r="AA10" i="39"/>
  <c r="AA32" i="39"/>
  <c r="R47" i="39"/>
  <c r="H10" i="39"/>
  <c r="AB10" i="39"/>
  <c r="AB32"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C20" i="68"/>
  <c r="Q16" i="1"/>
  <c r="M7" i="1"/>
  <c r="M9" i="1"/>
  <c r="M11" i="1"/>
  <c r="M14" i="1"/>
  <c r="M16" i="1"/>
  <c r="N16" i="1"/>
  <c r="O7" i="1"/>
  <c r="O8" i="1"/>
  <c r="O9" i="1"/>
  <c r="O11" i="1"/>
  <c r="O12" i="1"/>
  <c r="O14" i="1"/>
  <c r="O16" i="1"/>
  <c r="E5" i="6"/>
  <c r="E6" i="6"/>
  <c r="F50" i="68"/>
  <c r="C56" i="68"/>
  <c r="D34" i="9"/>
  <c r="E9" i="76"/>
  <c r="F41" i="67"/>
  <c r="F36" i="67"/>
  <c r="M29" i="15"/>
  <c r="F6" i="67"/>
  <c r="D6" i="73"/>
  <c r="B7" i="76"/>
  <c r="AO7" i="1"/>
  <c r="M28" i="15"/>
  <c r="B11" i="76"/>
  <c r="J15" i="67"/>
  <c r="E8" i="76"/>
  <c r="D2" i="37"/>
  <c r="E10" i="76"/>
  <c r="E2" i="69"/>
  <c r="D2" i="34"/>
  <c r="M22" i="15"/>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U14" i="39"/>
  <c r="AB13" i="39"/>
  <c r="U12" i="39"/>
  <c r="W12" i="39"/>
  <c r="S12" i="39"/>
  <c r="S11" i="39"/>
  <c r="U9" i="39"/>
  <c r="W9" i="39"/>
  <c r="S9" i="39"/>
  <c r="F69" i="85"/>
  <c r="J26" i="35"/>
  <c r="H26" i="35"/>
  <c r="F26" i="35"/>
  <c r="F71" i="84"/>
  <c r="F50" i="84"/>
  <c r="C49" i="84"/>
  <c r="J18" i="84"/>
  <c r="J18" i="83"/>
  <c r="F50" i="83"/>
  <c r="C49" i="83"/>
  <c r="F71" i="83"/>
  <c r="E10" i="6"/>
  <c r="F69" i="84"/>
  <c r="F69" i="83"/>
  <c r="P61" i="15"/>
  <c r="B66" i="43"/>
  <c r="B70" i="43"/>
  <c r="C94" i="9"/>
  <c r="C92" i="9"/>
  <c r="C5" i="11"/>
  <c r="AP8" i="1"/>
  <c r="AP6" i="1"/>
  <c r="D23" i="67"/>
  <c r="L26" i="6"/>
  <c r="F29" i="6"/>
  <c r="B6" i="49"/>
  <c r="C36" i="69"/>
  <c r="H78" i="43"/>
  <c r="H56" i="43"/>
  <c r="G17" i="43"/>
  <c r="C16" i="43"/>
  <c r="D5" i="43"/>
  <c r="C33" i="43"/>
  <c r="H53" i="43"/>
  <c r="H50" i="43"/>
  <c r="T35" i="4"/>
  <c r="A19" i="51"/>
  <c r="B14" i="72"/>
  <c r="A15" i="62"/>
  <c r="B61" i="72"/>
  <c r="E13" i="49"/>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F7" i="33"/>
  <c r="E59" i="40"/>
  <c r="P6" i="1"/>
  <c r="P12" i="1"/>
  <c r="G30" i="6"/>
  <c r="G31" i="6"/>
  <c r="F30" i="6"/>
  <c r="E29" i="6"/>
  <c r="P11" i="1"/>
  <c r="P8" i="1"/>
  <c r="P9" i="1"/>
  <c r="H16" i="1"/>
  <c r="B10" i="49"/>
  <c r="B9" i="49"/>
  <c r="E10" i="49"/>
  <c r="E22" i="49"/>
  <c r="E21" i="49"/>
  <c r="B8" i="49"/>
  <c r="E7" i="49"/>
  <c r="E11" i="49"/>
  <c r="B11" i="49"/>
  <c r="B22" i="49"/>
  <c r="E6" i="49"/>
  <c r="E14" i="49"/>
  <c r="B4" i="49"/>
  <c r="E8" i="49"/>
  <c r="E9" i="49"/>
  <c r="E4" i="49"/>
  <c r="B13" i="49"/>
  <c r="E4" i="4"/>
  <c r="B5" i="62"/>
  <c r="B73" i="72"/>
  <c r="Q71" i="15"/>
  <c r="J57" i="15"/>
  <c r="J55" i="15"/>
  <c r="J58" i="15"/>
  <c r="Q50" i="15"/>
  <c r="I54" i="15"/>
  <c r="L56" i="15"/>
  <c r="B6" i="70"/>
  <c r="K1" i="73"/>
  <c r="B20" i="31"/>
  <c r="C6" i="67"/>
  <c r="F51" i="67"/>
  <c r="F65" i="67"/>
  <c r="F50" i="15"/>
  <c r="F51" i="15"/>
  <c r="B12" i="70"/>
  <c r="F71" i="15"/>
  <c r="B7" i="70"/>
  <c r="J53" i="67"/>
  <c r="I54" i="67"/>
  <c r="J57" i="67"/>
  <c r="J55" i="67"/>
  <c r="J58" i="67"/>
  <c r="Q50" i="67"/>
  <c r="L56" i="67"/>
  <c r="F69" i="67"/>
  <c r="E20" i="43"/>
  <c r="F66" i="67"/>
  <c r="M59" i="15"/>
  <c r="L59" i="15"/>
  <c r="L58" i="15"/>
  <c r="N59" i="15"/>
  <c r="F66" i="15"/>
  <c r="Q71" i="67"/>
  <c r="F64" i="15"/>
  <c r="F70" i="67"/>
  <c r="C27" i="67"/>
  <c r="F71" i="67"/>
  <c r="F65" i="15"/>
  <c r="L58" i="67"/>
  <c r="N59" i="67"/>
  <c r="L59" i="67"/>
  <c r="M59" i="67"/>
  <c r="B13" i="70"/>
  <c r="M7" i="67"/>
  <c r="F50" i="67"/>
  <c r="F68" i="67"/>
  <c r="F64" i="67"/>
  <c r="F68" i="15"/>
  <c r="F31" i="67"/>
  <c r="F31" i="15"/>
  <c r="M17" i="15"/>
  <c r="M17" i="67"/>
  <c r="F59" i="15"/>
  <c r="F59" i="67"/>
  <c r="C17" i="67"/>
  <c r="C16" i="67"/>
  <c r="C14" i="67"/>
  <c r="AA14" i="35"/>
  <c r="S14" i="35"/>
  <c r="AB14" i="35"/>
  <c r="AC14" i="35"/>
  <c r="AB39" i="39"/>
  <c r="AC15" i="39"/>
  <c r="U15" i="39"/>
  <c r="S15" i="39"/>
  <c r="F11" i="85"/>
  <c r="M11" i="85"/>
  <c r="J10" i="85"/>
  <c r="J5" i="85"/>
  <c r="AA26" i="35"/>
  <c r="S26" i="35"/>
  <c r="U26" i="35"/>
  <c r="AB26" i="35"/>
  <c r="AC26" i="35"/>
  <c r="W26" i="35"/>
  <c r="E56" i="40"/>
  <c r="E73" i="80"/>
  <c r="C38" i="43"/>
  <c r="E38" i="43"/>
  <c r="C37" i="43"/>
  <c r="C39" i="43"/>
  <c r="G39" i="43"/>
  <c r="I39" i="43"/>
  <c r="D9" i="11"/>
  <c r="C9" i="11"/>
  <c r="L19" i="6"/>
  <c r="C9" i="68"/>
  <c r="L20" i="6"/>
  <c r="L21" i="6"/>
  <c r="D9" i="69"/>
  <c r="C9" i="69"/>
  <c r="AY6" i="3"/>
  <c r="E57" i="40"/>
  <c r="E51" i="40"/>
  <c r="F31" i="6"/>
  <c r="E60" i="40"/>
  <c r="C4" i="4"/>
  <c r="B4" i="62"/>
  <c r="B71" i="72"/>
  <c r="C34" i="43"/>
  <c r="G34" i="43"/>
  <c r="I34" i="43"/>
  <c r="C35" i="43"/>
  <c r="G35" i="43"/>
  <c r="I35" i="43"/>
  <c r="C5" i="43"/>
  <c r="F10" i="40"/>
  <c r="S10" i="40"/>
  <c r="J10" i="40"/>
  <c r="W10" i="40"/>
  <c r="H10" i="40"/>
  <c r="U10" i="40"/>
  <c r="B38" i="72"/>
  <c r="D20" i="53"/>
  <c r="B40" i="72"/>
  <c r="S7" i="36"/>
  <c r="AA7" i="36"/>
  <c r="R36" i="36"/>
  <c r="H70" i="39"/>
  <c r="I68" i="39"/>
  <c r="U7" i="35"/>
  <c r="AB7" i="35"/>
  <c r="J7" i="33"/>
  <c r="E39" i="43"/>
  <c r="E58" i="21"/>
  <c r="AB7" i="33"/>
  <c r="T48" i="33"/>
  <c r="G48" i="33"/>
  <c r="U7" i="33"/>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P7" i="1"/>
  <c r="AC10" i="40"/>
  <c r="W10" i="39"/>
  <c r="E58" i="40"/>
  <c r="E16" i="6"/>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F27" i="11"/>
  <c r="D3" i="33"/>
  <c r="D37" i="11"/>
  <c r="M18" i="9"/>
  <c r="B118" i="9"/>
  <c r="B14" i="74"/>
  <c r="B1" i="74"/>
  <c r="D3" i="34"/>
  <c r="L18" i="9"/>
  <c r="C17" i="4"/>
  <c r="B4" i="52"/>
  <c r="B43" i="72"/>
  <c r="D3" i="37"/>
  <c r="D3" i="21"/>
  <c r="D19" i="11"/>
  <c r="C19" i="11"/>
  <c r="K24" i="6"/>
  <c r="K26" i="6"/>
  <c r="K19" i="6"/>
  <c r="S6" i="1"/>
  <c r="K21" i="6"/>
  <c r="K25" i="6"/>
  <c r="E30" i="6"/>
  <c r="E31" i="6"/>
  <c r="K20" i="6"/>
  <c r="K22" i="6"/>
  <c r="C49" i="15"/>
  <c r="F24" i="85"/>
  <c r="C15" i="67"/>
  <c r="C18" i="67"/>
  <c r="Q61" i="67"/>
  <c r="Q74" i="67"/>
  <c r="Q74" i="15"/>
  <c r="Q61" i="15"/>
  <c r="M28" i="43"/>
  <c r="P28" i="43"/>
  <c r="N28" i="43"/>
  <c r="O28" i="43"/>
  <c r="F1" i="67"/>
  <c r="Q52" i="67"/>
  <c r="M11" i="67"/>
  <c r="J10" i="67"/>
  <c r="F11" i="67"/>
  <c r="Q52" i="15"/>
  <c r="Q60" i="15"/>
  <c r="Q73" i="15"/>
  <c r="J18" i="15"/>
  <c r="Q60" i="67"/>
  <c r="Q73" i="67"/>
  <c r="J6" i="67"/>
  <c r="C49" i="67"/>
  <c r="C32" i="67"/>
  <c r="I38" i="35"/>
  <c r="G38" i="35"/>
  <c r="C24" i="85"/>
  <c r="C23" i="85"/>
  <c r="J26" i="85"/>
  <c r="J29" i="85"/>
  <c r="J24" i="85"/>
  <c r="C53" i="85"/>
  <c r="C48" i="85"/>
  <c r="C10" i="85"/>
  <c r="C5" i="8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F69" i="15"/>
  <c r="J24" i="84"/>
  <c r="C53" i="84"/>
  <c r="C48" i="84"/>
  <c r="J24" i="83"/>
  <c r="C53" i="83"/>
  <c r="C48" i="8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K4" i="4"/>
  <c r="B46" i="48"/>
  <c r="B4" i="72"/>
  <c r="E35" i="43"/>
  <c r="T8" i="43"/>
  <c r="V8" i="43"/>
  <c r="E34" i="43"/>
  <c r="T12" i="43"/>
  <c r="V12" i="43"/>
  <c r="T15" i="43"/>
  <c r="V15" i="43"/>
  <c r="T13" i="43"/>
  <c r="V13" i="43"/>
  <c r="T10" i="43"/>
  <c r="V10" i="43"/>
  <c r="T14" i="43"/>
  <c r="V14" i="43"/>
  <c r="T16" i="43"/>
  <c r="V16" i="43"/>
  <c r="T9" i="43"/>
  <c r="V9" i="43"/>
  <c r="T11" i="43"/>
  <c r="V11" i="43"/>
  <c r="U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C34" i="69"/>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10" i="11"/>
  <c r="C10" i="11"/>
  <c r="D10" i="69"/>
  <c r="C47" i="69"/>
  <c r="D45" i="69"/>
  <c r="C29" i="69"/>
  <c r="D27" i="69"/>
  <c r="M19" i="6"/>
  <c r="K27" i="6"/>
  <c r="C29" i="11"/>
  <c r="D27" i="11"/>
  <c r="C47" i="11"/>
  <c r="D45" i="11"/>
  <c r="C20" i="11"/>
  <c r="C28" i="11"/>
  <c r="C27" i="11"/>
  <c r="C8" i="74"/>
  <c r="C19" i="67"/>
  <c r="C20" i="67"/>
  <c r="C26" i="67"/>
  <c r="J24" i="15"/>
  <c r="J18" i="67"/>
  <c r="J5" i="67"/>
  <c r="C53" i="67"/>
  <c r="C48" i="67"/>
  <c r="C10" i="67"/>
  <c r="C5" i="67"/>
  <c r="C53" i="15"/>
  <c r="C48" i="15"/>
  <c r="F22" i="69"/>
  <c r="F24" i="67"/>
  <c r="C24" i="67"/>
  <c r="F22" i="11"/>
  <c r="C38" i="85"/>
  <c r="C66" i="85"/>
  <c r="C60" i="85"/>
  <c r="C29" i="85"/>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C66" i="84"/>
  <c r="C60" i="84"/>
  <c r="C66" i="83"/>
  <c r="C60" i="83"/>
  <c r="H20" i="6"/>
  <c r="H21" i="6"/>
  <c r="R21" i="6"/>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B2" i="36"/>
  <c r="B3" i="36"/>
  <c r="AA7" i="37"/>
  <c r="R42" i="37"/>
  <c r="S7" i="37"/>
  <c r="E40" i="36"/>
  <c r="F40" i="36"/>
  <c r="E41" i="36"/>
  <c r="F41" i="36"/>
  <c r="G58" i="21"/>
  <c r="C49" i="33"/>
  <c r="B2" i="33"/>
  <c r="B3"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C10" i="69"/>
  <c r="C8" i="69"/>
  <c r="C5" i="69"/>
  <c r="C23" i="69"/>
  <c r="D19" i="69"/>
  <c r="I19" i="6"/>
  <c r="M27" i="6"/>
  <c r="D8" i="74"/>
  <c r="C38" i="69"/>
  <c r="C35" i="69"/>
  <c r="C10" i="68"/>
  <c r="C4" i="52"/>
  <c r="B45" i="72"/>
  <c r="A7" i="51"/>
  <c r="B7" i="72"/>
  <c r="A10" i="51"/>
  <c r="B9" i="72"/>
  <c r="R24" i="6"/>
  <c r="R22" i="6"/>
  <c r="C60" i="67"/>
  <c r="C66" i="67"/>
  <c r="C38" i="67"/>
  <c r="C23" i="67"/>
  <c r="C29" i="67"/>
  <c r="C26" i="69"/>
  <c r="D22" i="69"/>
  <c r="C44" i="69"/>
  <c r="D41" i="69"/>
  <c r="C44" i="11"/>
  <c r="D41" i="11"/>
  <c r="C23" i="11"/>
  <c r="C24" i="11"/>
  <c r="C25" i="11"/>
  <c r="C26" i="11"/>
  <c r="D22" i="11"/>
  <c r="C60" i="15"/>
  <c r="C66" i="15"/>
  <c r="J26" i="67"/>
  <c r="J29" i="67"/>
  <c r="J24" i="67"/>
  <c r="F35" i="85"/>
  <c r="M21" i="85"/>
  <c r="M21" i="84"/>
  <c r="M21" i="83"/>
  <c r="B6" i="76"/>
  <c r="J20" i="85"/>
  <c r="F63" i="85"/>
  <c r="C62" i="85"/>
  <c r="C34" i="85"/>
  <c r="C31" i="85"/>
  <c r="C57" i="85"/>
  <c r="C36" i="85"/>
  <c r="J19" i="85"/>
  <c r="J14" i="85"/>
  <c r="C13" i="85"/>
  <c r="Q49" i="85"/>
  <c r="E6" i="3"/>
  <c r="C30" i="43"/>
  <c r="E30" i="43"/>
  <c r="C27" i="43"/>
  <c r="E2" i="70"/>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J20" i="84"/>
  <c r="F63" i="84"/>
  <c r="C62" i="84"/>
  <c r="F63" i="83"/>
  <c r="C62" i="83"/>
  <c r="J20" i="8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2" i="76"/>
  <c r="B3" i="43"/>
  <c r="L16" i="1"/>
  <c r="C19" i="68"/>
  <c r="I27" i="6"/>
  <c r="S19" i="6"/>
  <c r="S27" i="6"/>
  <c r="H19" i="6"/>
  <c r="P14" i="1"/>
  <c r="P16" i="1"/>
  <c r="D37" i="69"/>
  <c r="C37" i="69"/>
  <c r="C33" i="69"/>
  <c r="C19" i="69"/>
  <c r="C24" i="69"/>
  <c r="J59" i="15"/>
  <c r="J60" i="15"/>
  <c r="H107" i="9"/>
  <c r="C36" i="67"/>
  <c r="Q49" i="67"/>
  <c r="J19" i="67"/>
  <c r="C33" i="67"/>
  <c r="J14" i="67"/>
  <c r="C13" i="67"/>
  <c r="C57" i="67"/>
  <c r="J59" i="67"/>
  <c r="J60" i="67"/>
  <c r="C22" i="11"/>
  <c r="C31" i="11"/>
  <c r="C37" i="85"/>
  <c r="C30" i="85"/>
  <c r="C39" i="85"/>
  <c r="C56" i="85"/>
  <c r="C65" i="85"/>
  <c r="C75" i="85"/>
  <c r="Q70" i="85"/>
  <c r="C64" i="85"/>
  <c r="C61" i="85"/>
  <c r="C59" i="85"/>
  <c r="J13" i="85"/>
  <c r="J23" i="85"/>
  <c r="J22" i="85"/>
  <c r="J17" i="85"/>
  <c r="C115" i="43"/>
  <c r="D113" i="43"/>
  <c r="F34" i="11"/>
  <c r="I5" i="6"/>
  <c r="I65" i="40"/>
  <c r="J63" i="40"/>
  <c r="I58" i="21"/>
  <c r="C42" i="37"/>
  <c r="C43" i="37"/>
  <c r="B2" i="37"/>
  <c r="B3" i="37"/>
  <c r="C49" i="34"/>
  <c r="C50" i="34"/>
  <c r="B2" i="34"/>
  <c r="B3" i="34"/>
  <c r="E46" i="37"/>
  <c r="F46" i="37"/>
  <c r="E47" i="37"/>
  <c r="F47" i="37"/>
  <c r="E54" i="34"/>
  <c r="F54" i="34"/>
  <c r="E53" i="34"/>
  <c r="F53" i="34"/>
  <c r="M68" i="39"/>
  <c r="L70" i="39"/>
  <c r="C39" i="69"/>
  <c r="C42" i="69"/>
  <c r="H27" i="6"/>
  <c r="R19" i="6"/>
  <c r="F50" i="11"/>
  <c r="F50" i="69"/>
  <c r="C20" i="69"/>
  <c r="C56" i="67"/>
  <c r="C65" i="67"/>
  <c r="C75" i="67"/>
  <c r="Q70" i="67"/>
  <c r="C37" i="67"/>
  <c r="J13" i="67"/>
  <c r="J23" i="67"/>
  <c r="J22" i="67"/>
  <c r="Q48" i="67"/>
  <c r="L46" i="67"/>
  <c r="D13" i="53"/>
  <c r="D122" i="9"/>
  <c r="H108" i="9"/>
  <c r="D15" i="53"/>
  <c r="B31" i="72"/>
  <c r="Q48" i="15"/>
  <c r="L46" i="15"/>
  <c r="C61" i="67"/>
  <c r="C64" i="67"/>
  <c r="E6" i="76"/>
  <c r="J16" i="85"/>
  <c r="J25" i="85"/>
  <c r="C58" i="85"/>
  <c r="C67" i="85"/>
  <c r="C68" i="85"/>
  <c r="C71" i="85"/>
  <c r="C80" i="85"/>
  <c r="C79" i="85"/>
  <c r="Q69" i="85"/>
  <c r="Q68" i="85"/>
  <c r="C40" i="85"/>
  <c r="E2" i="76"/>
  <c r="B3" i="76"/>
  <c r="C36" i="11"/>
  <c r="C37" i="11"/>
  <c r="C34" i="11"/>
  <c r="R27" i="6"/>
  <c r="R6" i="1"/>
  <c r="J58" i="21"/>
  <c r="K63" i="40"/>
  <c r="J65" i="40"/>
  <c r="N68" i="39"/>
  <c r="M70" i="39"/>
  <c r="C28" i="69"/>
  <c r="C27" i="69"/>
  <c r="C25" i="69"/>
  <c r="C22" i="69"/>
  <c r="C46" i="69"/>
  <c r="C45" i="69"/>
  <c r="C43" i="69"/>
  <c r="C41" i="69"/>
  <c r="G14" i="74"/>
  <c r="B6" i="74"/>
  <c r="D123" i="9"/>
  <c r="D9" i="52"/>
  <c r="D8" i="52"/>
  <c r="B30" i="72"/>
  <c r="D14" i="53"/>
  <c r="B32" i="72"/>
  <c r="L51" i="85"/>
  <c r="M21" i="67"/>
  <c r="F35" i="67"/>
  <c r="M21" i="15"/>
  <c r="C46" i="85"/>
  <c r="Q67" i="85"/>
  <c r="Q47" i="85"/>
  <c r="Q53" i="85"/>
  <c r="B2" i="85"/>
  <c r="Q65" i="85"/>
  <c r="Q75" i="85"/>
  <c r="Q56" i="85"/>
  <c r="Q62" i="85"/>
  <c r="C43" i="85"/>
  <c r="C83" i="85"/>
  <c r="C82" i="85"/>
  <c r="Q49" i="84"/>
  <c r="C75" i="84"/>
  <c r="J19" i="84"/>
  <c r="J17" i="84"/>
  <c r="C57" i="84"/>
  <c r="C64" i="84"/>
  <c r="J14" i="84"/>
  <c r="C56" i="84"/>
  <c r="C65" i="84"/>
  <c r="C61" i="84"/>
  <c r="C59" i="84"/>
  <c r="Q70" i="84"/>
  <c r="Q49" i="83"/>
  <c r="J19" i="83"/>
  <c r="J17" i="83"/>
  <c r="J14" i="83"/>
  <c r="C57" i="83"/>
  <c r="Q49" i="15"/>
  <c r="C57" i="15"/>
  <c r="J19" i="15"/>
  <c r="J14" i="15"/>
  <c r="L57" i="83"/>
  <c r="C38" i="11"/>
  <c r="C35" i="11"/>
  <c r="F63" i="15"/>
  <c r="C62" i="15"/>
  <c r="J20" i="67"/>
  <c r="J17" i="67"/>
  <c r="J16" i="67"/>
  <c r="J25" i="67"/>
  <c r="F63" i="67"/>
  <c r="C62" i="67"/>
  <c r="C59" i="67"/>
  <c r="C58" i="67"/>
  <c r="C67" i="67"/>
  <c r="C68" i="67"/>
  <c r="C71" i="67"/>
  <c r="C34" i="67"/>
  <c r="C31" i="67"/>
  <c r="C30" i="67"/>
  <c r="C39" i="67"/>
  <c r="J20" i="15"/>
  <c r="R16" i="1"/>
  <c r="H7" i="39"/>
  <c r="N70" i="39"/>
  <c r="J7" i="39"/>
  <c r="O68" i="39"/>
  <c r="O70" i="39"/>
  <c r="F7" i="39"/>
  <c r="L63" i="40"/>
  <c r="K65" i="40"/>
  <c r="K58" i="21"/>
  <c r="C31" i="69"/>
  <c r="C49" i="69"/>
  <c r="C51" i="69"/>
  <c r="C6" i="74"/>
  <c r="D6" i="74"/>
  <c r="AO10" i="1"/>
  <c r="L51" i="67"/>
  <c r="B10" i="70"/>
  <c r="B3" i="85"/>
  <c r="C58" i="84"/>
  <c r="C67" i="84"/>
  <c r="C68" i="84"/>
  <c r="C71" i="84"/>
  <c r="J13" i="84"/>
  <c r="J23" i="84"/>
  <c r="J22" i="84"/>
  <c r="J17" i="15"/>
  <c r="C61" i="15"/>
  <c r="C59" i="15"/>
  <c r="C64" i="15"/>
  <c r="J13" i="83"/>
  <c r="J23" i="83"/>
  <c r="J22" i="83"/>
  <c r="J13" i="15"/>
  <c r="J23" i="15"/>
  <c r="J22" i="15"/>
  <c r="C56" i="83"/>
  <c r="C65" i="83"/>
  <c r="C75" i="83"/>
  <c r="Q70" i="83"/>
  <c r="Q70" i="15"/>
  <c r="C56" i="15"/>
  <c r="C65" i="15"/>
  <c r="Q69" i="15"/>
  <c r="C75" i="15"/>
  <c r="C61" i="83"/>
  <c r="C59" i="83"/>
  <c r="C64" i="83"/>
  <c r="L57" i="84"/>
  <c r="C33" i="11"/>
  <c r="C42" i="11"/>
  <c r="L57" i="67"/>
  <c r="L60" i="67"/>
  <c r="Q57" i="67"/>
  <c r="Q67" i="67"/>
  <c r="C40" i="67"/>
  <c r="C80" i="67"/>
  <c r="C79" i="67"/>
  <c r="Q69" i="67"/>
  <c r="Q68" i="67"/>
  <c r="M63" i="40"/>
  <c r="L65" i="40"/>
  <c r="AA7" i="39"/>
  <c r="S7" i="39"/>
  <c r="W7" i="39"/>
  <c r="AC7" i="39"/>
  <c r="I47" i="39"/>
  <c r="L58" i="21"/>
  <c r="U7" i="39"/>
  <c r="AB7" i="39"/>
  <c r="G47" i="39"/>
  <c r="C52" i="69"/>
  <c r="B2" i="69"/>
  <c r="B3" i="69"/>
  <c r="L51" i="84"/>
  <c r="L51" i="83"/>
  <c r="L51" i="15"/>
  <c r="Q67" i="84"/>
  <c r="Q69" i="84"/>
  <c r="Q68" i="84"/>
  <c r="C43" i="84"/>
  <c r="C80" i="84"/>
  <c r="C79" i="84"/>
  <c r="J16" i="84"/>
  <c r="J25" i="84"/>
  <c r="J16" i="83"/>
  <c r="J25" i="83"/>
  <c r="Q68" i="15"/>
  <c r="C58" i="83"/>
  <c r="C67" i="83"/>
  <c r="C68" i="83"/>
  <c r="C71" i="83"/>
  <c r="C80" i="15"/>
  <c r="C79" i="15"/>
  <c r="C58" i="15"/>
  <c r="C67" i="15"/>
  <c r="C68" i="15"/>
  <c r="C71" i="15"/>
  <c r="Q65" i="15"/>
  <c r="J16" i="15"/>
  <c r="J25" i="15"/>
  <c r="L57" i="15"/>
  <c r="L60" i="15"/>
  <c r="Q57" i="15"/>
  <c r="Q67" i="15"/>
  <c r="Q67" i="83"/>
  <c r="C80" i="83"/>
  <c r="C79" i="83"/>
  <c r="Q69" i="83"/>
  <c r="Q68" i="83"/>
  <c r="C39" i="11"/>
  <c r="C43" i="11"/>
  <c r="C41" i="11"/>
  <c r="Q66" i="67"/>
  <c r="C43" i="67"/>
  <c r="Q47" i="67"/>
  <c r="Q53" i="67"/>
  <c r="D2" i="67"/>
  <c r="C83" i="67"/>
  <c r="C82" i="67"/>
  <c r="Q56" i="67"/>
  <c r="Q62" i="67"/>
  <c r="Q65" i="67"/>
  <c r="C45" i="67"/>
  <c r="C46" i="67"/>
  <c r="G52" i="39"/>
  <c r="H52" i="39"/>
  <c r="G51" i="39"/>
  <c r="H51" i="39"/>
  <c r="I51" i="39"/>
  <c r="J51" i="39"/>
  <c r="N63" i="40"/>
  <c r="M65" i="40"/>
  <c r="M58" i="21"/>
  <c r="N58" i="21"/>
  <c r="O58" i="21"/>
  <c r="F7" i="21"/>
  <c r="J7" i="21"/>
  <c r="H7" i="21"/>
  <c r="E47" i="39"/>
  <c r="C57" i="69"/>
  <c r="C56" i="69"/>
  <c r="C46" i="84"/>
  <c r="Q65" i="84"/>
  <c r="Q75" i="84"/>
  <c r="C83" i="84"/>
  <c r="C82" i="84"/>
  <c r="Q56" i="84"/>
  <c r="Q62" i="84"/>
  <c r="Q47" i="84"/>
  <c r="Q53" i="84"/>
  <c r="C43" i="15"/>
  <c r="Q56" i="15"/>
  <c r="Q62" i="15"/>
  <c r="Q47" i="15"/>
  <c r="Q53" i="15"/>
  <c r="C83" i="15"/>
  <c r="C82" i="15"/>
  <c r="C46" i="15"/>
  <c r="Q47" i="83"/>
  <c r="Q53" i="83"/>
  <c r="C43" i="83"/>
  <c r="C83" i="83"/>
  <c r="C82" i="83"/>
  <c r="Q65" i="83"/>
  <c r="Q75" i="83"/>
  <c r="Q56" i="83"/>
  <c r="Q62" i="83"/>
  <c r="Q66" i="15"/>
  <c r="Q75" i="15"/>
  <c r="C46" i="83"/>
  <c r="C46" i="11"/>
  <c r="C45" i="11"/>
  <c r="C49" i="11"/>
  <c r="C51" i="11"/>
  <c r="C52" i="11"/>
  <c r="B2" i="11"/>
  <c r="B3" i="11"/>
  <c r="Q75" i="67"/>
  <c r="B2" i="67"/>
  <c r="B3" i="67"/>
  <c r="AC7" i="21"/>
  <c r="V48" i="21"/>
  <c r="I48" i="21"/>
  <c r="W7" i="21"/>
  <c r="E51" i="39"/>
  <c r="F51" i="39"/>
  <c r="E52" i="39"/>
  <c r="F52" i="39"/>
  <c r="AA7" i="21"/>
  <c r="R48" i="21"/>
  <c r="S7" i="21"/>
  <c r="C47" i="39"/>
  <c r="U7" i="21"/>
  <c r="AB7" i="21"/>
  <c r="T48" i="21"/>
  <c r="G48" i="21"/>
  <c r="O63" i="40"/>
  <c r="O65" i="40"/>
  <c r="N65" i="40"/>
  <c r="I52" i="39"/>
  <c r="J52" i="39"/>
  <c r="AO8" i="1"/>
  <c r="AO11" i="1"/>
  <c r="AO9" i="1"/>
  <c r="B8" i="70"/>
  <c r="B3" i="15"/>
  <c r="E6" i="12"/>
  <c r="B11" i="70"/>
  <c r="B3" i="84"/>
  <c r="H6" i="12"/>
  <c r="B9" i="70"/>
  <c r="B3" i="83"/>
  <c r="F6" i="12"/>
  <c r="C56" i="11"/>
  <c r="C57" i="11"/>
  <c r="E48" i="21"/>
  <c r="I53" i="21"/>
  <c r="J53" i="21"/>
  <c r="R49" i="21"/>
  <c r="I52" i="21"/>
  <c r="J52" i="21"/>
  <c r="F7" i="40"/>
  <c r="J7" i="40"/>
  <c r="H7" i="40"/>
  <c r="G53" i="21"/>
  <c r="H53" i="21"/>
  <c r="G52" i="21"/>
  <c r="H52" i="21"/>
  <c r="B2" i="70"/>
  <c r="B3" i="70"/>
  <c r="W7" i="40"/>
  <c r="AC7" i="40"/>
  <c r="V42" i="40"/>
  <c r="I42" i="40"/>
  <c r="S7" i="40"/>
  <c r="AA7" i="40"/>
  <c r="R42" i="40"/>
  <c r="U7" i="40"/>
  <c r="AB7" i="40"/>
  <c r="T42" i="40"/>
  <c r="G42" i="40"/>
  <c r="C49" i="21"/>
  <c r="B2" i="21"/>
  <c r="B3" i="21"/>
  <c r="C48" i="21"/>
  <c r="E53" i="21"/>
  <c r="F53" i="21"/>
  <c r="E52" i="21"/>
  <c r="F52" i="21"/>
  <c r="B2" i="39"/>
  <c r="B3" i="39"/>
  <c r="R43" i="40"/>
  <c r="E42" i="40"/>
  <c r="I47" i="40"/>
  <c r="J47" i="40"/>
  <c r="G46" i="40"/>
  <c r="H46" i="40"/>
  <c r="G47" i="40"/>
  <c r="H47" i="40"/>
  <c r="I46" i="40"/>
  <c r="J46" i="40"/>
  <c r="B3" i="12"/>
  <c r="C43" i="40"/>
  <c r="C42" i="40"/>
  <c r="E46" i="40"/>
  <c r="F46" i="40"/>
  <c r="E47" i="40"/>
  <c r="F47" i="40"/>
  <c r="D20" i="9"/>
  <c r="D21" i="9"/>
  <c r="D102" i="9"/>
  <c r="D103" i="9"/>
  <c r="B59" i="40"/>
  <c r="F59" i="40"/>
  <c r="B54" i="40"/>
  <c r="F54" i="40"/>
  <c r="B51" i="40"/>
  <c r="F51" i="40"/>
  <c r="B58" i="40"/>
  <c r="F58" i="40"/>
  <c r="B53" i="40"/>
  <c r="F53" i="40"/>
  <c r="B52" i="40"/>
  <c r="F52" i="40"/>
  <c r="B57" i="40"/>
  <c r="F57" i="40"/>
  <c r="B56" i="40"/>
  <c r="F56" i="40"/>
  <c r="B55" i="40"/>
  <c r="F55" i="40"/>
  <c r="B60" i="40"/>
  <c r="F60" i="40"/>
  <c r="F61" i="40"/>
  <c r="B2" i="40"/>
  <c r="B3" i="40"/>
  <c r="C102" i="9"/>
  <c r="C21" i="9"/>
  <c r="D22" i="9"/>
  <c r="C20" i="9"/>
  <c r="C103" i="9"/>
  <c r="G20" i="9"/>
  <c r="G21" i="9"/>
  <c r="C34" i="9"/>
  <c r="D118" i="9"/>
  <c r="D119" i="9"/>
  <c r="D5" i="52"/>
  <c r="B49" i="72"/>
  <c r="F119" i="9"/>
  <c r="F5" i="52"/>
  <c r="B53" i="72"/>
  <c r="F4" i="52"/>
  <c r="B51" i="72"/>
  <c r="G4" i="52"/>
  <c r="B52" i="72"/>
  <c r="D14" i="74"/>
  <c r="H119" i="9"/>
  <c r="H5" i="52"/>
  <c r="C104" i="9"/>
  <c r="H4" i="52"/>
  <c r="H101" i="9"/>
  <c r="D4" i="52"/>
  <c r="B47" i="72"/>
  <c r="E14" i="74"/>
  <c r="F14" i="74"/>
  <c r="D5" i="53"/>
  <c r="D45" i="9"/>
  <c r="M48" i="9"/>
  <c r="H109" i="9"/>
  <c r="C105" i="9"/>
  <c r="H102" i="9"/>
  <c r="D7" i="53"/>
  <c r="B21" i="72"/>
  <c r="E118" i="9"/>
  <c r="E4" i="52"/>
  <c r="B48" i="72"/>
  <c r="I4" i="52"/>
  <c r="C72" i="9"/>
  <c r="D55" i="9"/>
  <c r="M53" i="9"/>
  <c r="D53" i="9"/>
  <c r="D52" i="9"/>
  <c r="C64" i="9"/>
  <c r="C63" i="9"/>
  <c r="C67" i="9"/>
  <c r="C68" i="9"/>
  <c r="D54" i="9"/>
  <c r="C93" i="9"/>
  <c r="C86" i="9"/>
  <c r="C78" i="9"/>
  <c r="C73" i="9"/>
  <c r="C85" i="9"/>
  <c r="D6" i="53"/>
  <c r="B22" i="72"/>
  <c r="B20" i="72"/>
  <c r="D124" i="9"/>
  <c r="H110" i="9"/>
  <c r="D18" i="53"/>
  <c r="B35" i="72"/>
  <c r="D16" i="53"/>
  <c r="M49" i="9"/>
  <c r="C79" i="9"/>
  <c r="C80" i="9"/>
  <c r="E80" i="9"/>
  <c r="E81" i="9"/>
  <c r="C95" i="9"/>
  <c r="D125" i="9"/>
  <c r="D11" i="52"/>
  <c r="H14" i="74"/>
  <c r="B7" i="74"/>
  <c r="D10" i="52"/>
  <c r="B34" i="72"/>
  <c r="D17" i="53"/>
  <c r="B36" i="72"/>
  <c r="L68" i="9"/>
  <c r="M68" i="9"/>
  <c r="L63" i="9"/>
  <c r="M63" i="9"/>
  <c r="L64" i="9"/>
  <c r="M64" i="9"/>
  <c r="L67" i="9"/>
  <c r="M67" i="9"/>
  <c r="L65" i="9"/>
  <c r="M65" i="9"/>
  <c r="L66" i="9"/>
  <c r="M66" i="9"/>
  <c r="C96" i="9"/>
  <c r="E96" i="9"/>
  <c r="E97" i="9"/>
  <c r="C81" i="9"/>
  <c r="C7" i="74"/>
  <c r="D7" i="74"/>
  <c r="M69" i="9"/>
  <c r="N69" i="9"/>
  <c r="C97" i="9"/>
  <c r="D58" i="9"/>
  <c r="D56" i="9"/>
  <c r="M54" i="9"/>
  <c r="N57" i="9"/>
  <c r="N58" i="9"/>
  <c r="P57" i="9"/>
  <c r="N59" i="9"/>
  <c r="N61" i="9"/>
  <c r="N60" i="9"/>
  <c r="B5" i="74"/>
  <c r="C5" i="74"/>
  <c r="D5"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<sst xmlns="http://schemas.openxmlformats.org/spreadsheetml/2006/main" count="12424" uniqueCount="4797">
  <si>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</si>
  <si>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</si>
  <si>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</si>
  <si>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</si>
  <si>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</si>
  <si>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</si>
  <si>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</si>
  <si>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</si>
  <si>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</si>
  <si>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</si>
  <si>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</si>
  <si>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</si>
  <si>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</si>
  <si>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</si>
  <si>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</si>
  <si>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</si>
  <si>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</si>
  <si>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</si>
  <si>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</si>
  <si>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</si>
  <si>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</si>
  <si>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</si>
  <si>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</si>
  <si>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</si>
  <si>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</si>
  <si>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</si>
  <si>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</si>
  <si>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</si>
  <si>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</si>
  <si>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</si>
  <si>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</si>
  <si>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</si>
  <si>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</si>
  <si>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</si>
  <si>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</si>
  <si>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</si>
  <si>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</si>
  <si>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</si>
  <si>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</si>
  <si>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</si>
  <si>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</si>
  <si>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</si>
  <si>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</si>
  <si>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</si>
  <si>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</si>
  <si>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</si>
  <si>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</si>
  <si>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</si>
  <si>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</si>
  <si>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</si>
  <si>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</si>
  <si>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</si>
  <si>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</si>
  <si>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</si>
  <si>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</si>
  <si>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</si>
  <si>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</si>
  <si>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</si>
  <si>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</si>
  <si>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</si>
  <si>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</si>
  <si>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</si>
  <si>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</si>
  <si>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</si>
  <si>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</si>
  <si>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</si>
  <si>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</si>
  <si>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</si>
  <si>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</si>
  <si>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</si>
  <si>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</si>
  <si>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</si>
  <si>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</si>
  <si>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</si>
  <si>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</si>
  <si>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</si>
  <si>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</si>
  <si>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</si>
  <si>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</si>
  <si>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</si>
  <si>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</si>
  <si>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</si>
  <si>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</si>
  <si>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</si>
  <si>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</si>
  <si>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</si>
  <si>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</si>
  <si>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</si>
  <si>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</si>
  <si>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</si>
  <si>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</si>
  <si>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</si>
  <si>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</si>
  <si>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</si>
  <si>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</si>
  <si>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</si>
  <si>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</si>
  <si>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</si>
  <si>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</si>
  <si>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</si>
  <si>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</si>
  <si>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</si>
  <si>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</si>
  <si>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</si>
  <si>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</si>
  <si>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</si>
  <si>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</si>
  <si>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</si>
  <si>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</si>
  <si>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</si>
  <si>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</si>
  <si>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</si>
  <si>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</si>
  <si>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</si>
  <si>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</si>
  <si>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</si>
  <si>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</si>
  <si>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</si>
  <si>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</si>
  <si>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</si>
  <si>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</si>
  <si>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</si>
  <si>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</si>
  <si>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</si>
  <si>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</si>
  <si>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</si>
  <si>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</si>
  <si>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</si>
  <si>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</si>
  <si>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</si>
  <si>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</si>
  <si>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</si>
  <si>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</si>
  <si>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</si>
  <si>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</si>
  <si>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</si>
  <si>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</si>
  <si>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</si>
  <si>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</si>
  <si>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</si>
  <si>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</si>
  <si>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</si>
  <si>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</si>
  <si>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</si>
  <si>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</si>
  <si>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</si>
  <si>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</si>
  <si>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</si>
  <si>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</si>
  <si>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</si>
  <si>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</si>
  <si>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</si>
  <si>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</si>
  <si>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</si>
  <si>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</si>
  <si>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</si>
  <si>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</si>
  <si>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</si>
  <si>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</si>
  <si>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</si>
  <si>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</si>
  <si>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</si>
  <si>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</si>
  <si>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</si>
  <si>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</si>
  <si>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</si>
  <si>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</si>
  <si>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</si>
  <si>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</si>
  <si>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</si>
  <si>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</si>
  <si>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</si>
  <si>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</si>
  <si>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</si>
  <si>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</si>
  <si>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</si>
  <si>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</si>
  <si>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</si>
  <si>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</si>
  <si>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</si>
  <si>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</si>
  <si>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</si>
  <si>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</si>
  <si>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</si>
  <si>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</si>
  <si>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</si>
  <si>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</si>
  <si>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</si>
  <si>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</si>
  <si>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</si>
  <si>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</si>
  <si>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</si>
  <si>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</si>
  <si>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</si>
  <si>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</si>
  <si>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</si>
  <si>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</si>
  <si>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</si>
  <si>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</si>
  <si>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</si>
  <si>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</si>
  <si>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</si>
  <si>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</si>
  <si>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</si>
  <si>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</si>
  <si>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</si>
  <si>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</si>
  <si>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</si>
  <si>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</si>
  <si>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</si>
  <si>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</si>
  <si>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</si>
  <si>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</si>
  <si>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</si>
  <si>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</si>
  <si>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</si>
  <si>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</si>
  <si>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</si>
  <si>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</si>
  <si>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</si>
  <si>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</si>
  <si>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</si>
  <si>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</si>
  <si>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</si>
  <si>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</si>
  <si>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</si>
  <si>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</si>
  <si>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</si>
  <si>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</si>
  <si>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</si>
  <si>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</si>
  <si>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</si>
  <si>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</si>
  <si>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</si>
  <si>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</si>
  <si>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</si>
  <si>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</si>
  <si>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</si>
  <si>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</si>
  <si>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</si>
  <si>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</si>
  <si>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</si>
  <si>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</si>
  <si>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</si>
  <si>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</si>
  <si>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</si>
  <si>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</si>
  <si>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</si>
  <si>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</si>
  <si>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</si>
  <si>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</si>
  <si>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</si>
  <si>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</si>
  <si>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</si>
  <si>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</si>
  <si>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</si>
  <si>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</si>
  <si>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</si>
  <si>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</si>
  <si>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</si>
  <si>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</si>
  <si>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</si>
  <si>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</si>
  <si>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</si>
  <si>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</si>
  <si>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</si>
  <si>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</si>
  <si>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</si>
  <si>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</si>
  <si>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</si>
  <si>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</si>
  <si>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</si>
  <si>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</si>
  <si>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</si>
  <si>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</si>
  <si>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</si>
  <si>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</si>
  <si>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</si>
  <si>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</si>
  <si>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</si>
  <si>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</si>
  <si>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</si>
  <si>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</si>
  <si>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</si>
  <si>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</si>
  <si>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</si>
  <si>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</si>
  <si>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</si>
  <si>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</si>
  <si>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</si>
  <si>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</si>
  <si>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</si>
  <si>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</si>
  <si>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</si>
  <si>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</si>
  <si>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</si>
  <si>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</si>
  <si>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</si>
  <si>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</si>
  <si>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</si>
  <si>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</si>
  <si>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</si>
  <si>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</si>
  <si>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</si>
  <si>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</si>
  <si>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</si>
  <si>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</si>
  <si>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</si>
  <si>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</si>
  <si>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</si>
  <si>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</si>
  <si>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</si>
  <si>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</si>
  <si>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</si>
  <si>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</si>
  <si>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</si>
  <si>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</si>
  <si>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</si>
  <si>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</si>
  <si>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</si>
  <si>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</si>
  <si>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</si>
  <si>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</si>
  <si>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</si>
  <si>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</si>
  <si>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</si>
  <si>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</si>
  <si>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</si>
  <si>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</si>
  <si>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</si>
  <si>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</si>
  <si>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</si>
  <si>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</si>
  <si>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</si>
  <si>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</si>
  <si>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</si>
  <si>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</si>
  <si>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</si>
  <si>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</si>
  <si>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</si>
  <si>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</si>
  <si>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</si>
  <si>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</si>
  <si>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</si>
  <si>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</si>
  <si>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</si>
  <si>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</si>
  <si>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</si>
  <si>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</si>
  <si>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</si>
  <si>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</si>
  <si>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</si>
  <si>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</si>
  <si>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</si>
  <si>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</si>
  <si>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</si>
  <si>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</si>
  <si>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</si>
  <si>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</si>
  <si>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</si>
  <si>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</si>
  <si>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</si>
  <si>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</si>
  <si>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</si>
  <si>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</si>
  <si>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</si>
  <si>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</si>
  <si>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</si>
  <si>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</si>
  <si>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</si>
  <si>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</si>
  <si>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</si>
  <si>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</si>
  <si>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</si>
  <si>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</si>
  <si>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</si>
  <si>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</si>
  <si>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</si>
  <si>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</si>
  <si>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</si>
  <si>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</si>
  <si>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</si>
  <si>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</si>
  <si>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</si>
  <si>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</si>
  <si>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</si>
  <si>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</si>
  <si>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</si>
  <si>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</si>
  <si>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</si>
  <si>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</si>
  <si>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</si>
  <si>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</si>
  <si>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</si>
  <si>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</si>
  <si>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</si>
  <si>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</si>
  <si>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</si>
  <si>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</si>
  <si>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</si>
  <si>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</si>
  <si>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</si>
  <si>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</si>
  <si>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</si>
  <si>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</si>
  <si>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</si>
  <si>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</si>
  <si>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</si>
  <si>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</si>
  <si>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</si>
  <si>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</si>
  <si>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</si>
  <si>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</si>
  <si>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</si>
  <si>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</si>
  <si>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</si>
  <si>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</si>
  <si>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</si>
  <si>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</si>
  <si>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</si>
  <si>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</si>
  <si>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</si>
  <si>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</si>
  <si>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</si>
  <si>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</si>
  <si>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</si>
  <si>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</si>
  <si>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</si>
  <si>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</si>
  <si>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</si>
  <si>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</si>
  <si>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</si>
  <si>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</si>
  <si>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</si>
  <si>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</si>
  <si>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</si>
  <si>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</si>
  <si>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</si>
  <si>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</si>
  <si>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</si>
  <si>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</si>
  <si>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</si>
  <si>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</si>
  <si>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</si>
  <si>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</si>
  <si>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</si>
  <si>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</si>
  <si>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</si>
  <si>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</si>
  <si>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</si>
  <si>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</si>
  <si>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</si>
  <si>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</si>
  <si>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</si>
  <si>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</si>
  <si>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</si>
  <si>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</si>
  <si>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</si>
  <si>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</si>
  <si>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</si>
  <si>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</si>
  <si>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</si>
  <si>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</si>
  <si>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</si>
  <si>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</si>
  <si>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</si>
  <si>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</si>
  <si>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</si>
  <si>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</si>
  <si>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</si>
  <si>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</si>
  <si>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</si>
  <si>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</si>
  <si>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</si>
  <si>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</si>
  <si>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</si>
  <si>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</si>
  <si>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</si>
  <si>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</si>
  <si>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</si>
  <si>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</si>
  <si>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</si>
  <si>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</si>
  <si>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</si>
  <si>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</si>
  <si>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</si>
  <si>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</si>
  <si>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</si>
  <si>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</si>
  <si>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</si>
  <si>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</si>
  <si>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</si>
  <si>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</si>
  <si>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</si>
  <si>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</si>
  <si>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</si>
  <si>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</si>
  <si>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</si>
  <si>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</si>
  <si>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</si>
  <si>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</si>
  <si>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</si>
  <si>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</si>
  <si>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</si>
  <si>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</si>
  <si>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</si>
  <si>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</si>
  <si>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</si>
  <si>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</si>
  <si>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</si>
  <si>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</si>
  <si>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</si>
  <si>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</si>
  <si>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</si>
  <si>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</si>
  <si>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</si>
  <si>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</si>
  <si>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</si>
  <si>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</si>
  <si>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</si>
  <si>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</si>
  <si>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</si>
  <si>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</si>
  <si>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</si>
  <si>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</si>
  <si>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</si>
  <si>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</si>
  <si>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</si>
  <si>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</si>
  <si>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</si>
  <si>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</si>
  <si>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</si>
  <si>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</si>
  <si>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</si>
  <si>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</si>
  <si>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</si>
  <si>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</si>
  <si>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</si>
  <si>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</si>
  <si>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</si>
  <si>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</si>
  <si>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</si>
  <si>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</si>
  <si>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</si>
  <si>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</si>
  <si>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</si>
  <si>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</si>
  <si>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</si>
  <si>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</si>
  <si>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</si>
  <si>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</si>
  <si>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</si>
  <si>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</si>
  <si>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</si>
  <si>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</si>
  <si>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</si>
  <si>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</si>
  <si>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</si>
  <si>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</si>
  <si>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</si>
  <si>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</si>
  <si>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</si>
  <si>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</si>
  <si>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</si>
  <si>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</si>
  <si>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</si>
  <si>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</si>
  <si>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</si>
  <si>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</si>
  <si>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</si>
  <si>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</si>
  <si>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</si>
  <si>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</si>
  <si>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</si>
  <si>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</si>
  <si>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</si>
  <si>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</si>
  <si>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</si>
  <si>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</si>
  <si>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</si>
  <si>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</si>
  <si>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</si>
  <si>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</si>
  <si>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</si>
  <si>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</si>
  <si>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</si>
  <si>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</si>
  <si>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</si>
  <si>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</si>
  <si>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</si>
  <si>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</si>
  <si>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</si>
  <si>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</si>
  <si>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</si>
  <si>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</si>
  <si>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</si>
  <si>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</si>
  <si>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</si>
  <si>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</si>
  <si>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</si>
  <si>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</si>
  <si>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</si>
  <si>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</si>
  <si>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</si>
  <si>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</si>
  <si>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</si>
  <si>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</si>
  <si>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</si>
  <si>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</si>
  <si>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</si>
  <si>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</si>
  <si>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</si>
  <si>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</si>
  <si>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</si>
  <si>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</si>
  <si>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</si>
  <si>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</si>
  <si>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</si>
  <si>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</si>
  <si>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</si>
  <si>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</si>
  <si>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</si>
  <si>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</si>
  <si>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</si>
  <si>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</si>
  <si>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</si>
  <si>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</si>
  <si>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</si>
  <si>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</si>
  <si>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</si>
  <si>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</si>
  <si>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</si>
  <si>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</si>
  <si>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</si>
  <si>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</si>
  <si>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</si>
  <si>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</si>
  <si>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</si>
  <si>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</si>
  <si>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</si>
  <si>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</si>
  <si>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</si>
  <si>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</si>
  <si>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</si>
  <si>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</si>
  <si>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</si>
  <si>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</si>
  <si>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</si>
  <si>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</si>
  <si>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</si>
  <si>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</si>
  <si>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</si>
  <si>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</si>
  <si>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</si>
  <si>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</si>
  <si>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</si>
  <si>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</si>
  <si>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</si>
  <si>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</si>
  <si>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</si>
  <si>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</si>
  <si>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</si>
  <si>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</si>
  <si>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</si>
  <si>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</si>
  <si>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</si>
  <si>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</si>
  <si>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</si>
  <si>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</si>
  <si>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</si>
  <si>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</si>
  <si>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</si>
  <si>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</si>
  <si>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</si>
  <si>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</si>
  <si>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</si>
  <si>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</si>
  <si>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</si>
  <si>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</si>
  <si>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</si>
  <si>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</si>
  <si>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</si>
  <si>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</si>
  <si>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</si>
  <si>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</si>
  <si>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</si>
  <si>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</si>
  <si>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</si>
  <si>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</si>
  <si>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</si>
  <si>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</si>
  <si>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</si>
  <si>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</si>
  <si>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</si>
  <si>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</si>
  <si>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</si>
  <si>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</si>
  <si>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</si>
  <si>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</si>
  <si>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</si>
  <si>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</si>
  <si>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</si>
  <si>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</si>
  <si>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</si>
  <si>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</si>
  <si>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</si>
  <si>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</si>
  <si>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</si>
  <si>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</si>
  <si>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</si>
  <si>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</si>
  <si>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</si>
  <si>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</si>
  <si>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</si>
  <si>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</si>
  <si>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</si>
  <si>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</si>
  <si>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</si>
  <si>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</si>
  <si>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</si>
  <si>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</si>
  <si>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</si>
  <si>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</si>
  <si>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</si>
  <si>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</si>
  <si>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</si>
  <si>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</si>
  <si>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</si>
  <si>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</si>
  <si>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</si>
  <si>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</si>
  <si>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</si>
  <si>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</si>
  <si>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</si>
  <si>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</si>
  <si>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</si>
  <si>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</si>
  <si>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</si>
  <si>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</si>
  <si>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</si>
  <si>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</si>
  <si>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</si>
  <si>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</si>
  <si>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</si>
  <si>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</si>
  <si>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</si>
  <si>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</si>
  <si>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</si>
  <si>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</si>
  <si>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</si>
  <si>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</si>
  <si>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</si>
  <si>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</si>
  <si>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</si>
  <si>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</si>
  <si>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</si>
  <si>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</si>
  <si>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</si>
  <si>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</si>
  <si>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</si>
  <si>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</si>
  <si>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</si>
  <si>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</si>
  <si>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</si>
  <si>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</si>
  <si>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</si>
  <si>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</si>
  <si>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</si>
  <si>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</si>
  <si>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</si>
  <si>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</si>
  <si>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</si>
  <si>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</si>
  <si>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</si>
  <si>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</si>
  <si>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</si>
  <si>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</si>
  <si>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</si>
  <si>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</si>
  <si>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</si>
  <si>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</si>
  <si>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</si>
  <si>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</si>
  <si>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</si>
  <si>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</si>
  <si>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</si>
  <si>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</si>
  <si>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</si>
  <si>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</si>
  <si>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</si>
  <si>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</si>
  <si>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</si>
  <si>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</si>
  <si>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</si>
  <si>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</si>
  <si>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</si>
  <si>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</si>
  <si>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</si>
  <si>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</si>
  <si>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</si>
  <si>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</si>
  <si>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</si>
  <si>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</si>
  <si>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</si>
  <si>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</si>
  <si>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</si>
  <si>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</si>
  <si>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</si>
  <si>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</si>
  <si>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</si>
  <si>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</si>
  <si>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</si>
  <si>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</si>
  <si>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</si>
  <si>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</si>
  <si>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</si>
  <si>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</si>
  <si>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</si>
  <si>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</si>
  <si>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</si>
  <si>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</si>
  <si>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</si>
  <si>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</si>
  <si>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</si>
  <si>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</si>
  <si>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</si>
  <si>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</si>
  <si>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</si>
  <si>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</si>
  <si>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</si>
  <si>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</si>
  <si>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</si>
  <si>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</si>
  <si>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</si>
  <si>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</si>
  <si>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</si>
  <si>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</si>
  <si>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</si>
  <si>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</si>
  <si>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</si>
  <si>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</si>
  <si>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</si>
  <si>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</si>
  <si>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</si>
  <si>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</si>
  <si>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</si>
  <si>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</si>
  <si>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</si>
  <si>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</si>
  <si>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</si>
  <si>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</si>
  <si>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</si>
  <si>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</si>
  <si>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</si>
  <si>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</si>
  <si>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</si>
  <si>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</si>
  <si>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</si>
  <si>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</si>
  <si>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</si>
  <si>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</si>
  <si>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</si>
  <si>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</si>
  <si>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</si>
  <si>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</si>
  <si>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</si>
  <si>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</si>
  <si>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</si>
  <si>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</si>
  <si>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</si>
  <si>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</si>
  <si>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</si>
  <si>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</si>
  <si>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</si>
  <si>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</si>
  <si>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</si>
  <si>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</si>
  <si>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</si>
  <si>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</si>
  <si>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</si>
  <si>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</si>
  <si>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</si>
  <si>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</si>
  <si>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</si>
  <si>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</si>
  <si>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</si>
  <si>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</si>
  <si>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</si>
  <si>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</si>
  <si>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</si>
  <si>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</si>
  <si>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</si>
  <si>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</si>
  <si>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</si>
  <si>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</si>
  <si>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</si>
  <si>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</si>
  <si>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</si>
  <si>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</si>
  <si>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</si>
  <si>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</si>
  <si>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</si>
  <si>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</si>
  <si>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</si>
  <si>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</si>
  <si>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</si>
  <si>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</si>
  <si>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</si>
  <si>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</si>
  <si>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</si>
  <si>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</si>
  <si>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</si>
  <si>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</si>
  <si>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</si>
  <si>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</si>
  <si>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</si>
  <si>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</si>
  <si>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</si>
  <si>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</si>
  <si>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</si>
  <si>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</si>
  <si>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</si>
  <si>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</si>
  <si>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</si>
  <si>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</si>
  <si>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</si>
  <si>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</si>
  <si>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</si>
  <si>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</si>
  <si>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</si>
  <si>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</si>
  <si>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</si>
  <si>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</si>
  <si>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</si>
  <si>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</si>
  <si>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</si>
  <si>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</si>
  <si>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</si>
  <si>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</si>
  <si>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</si>
  <si>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</si>
  <si>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</si>
  <si>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</si>
  <si>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</si>
  <si>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</si>
  <si>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</si>
  <si>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</si>
  <si>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</si>
  <si>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</si>
  <si>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</si>
  <si>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</si>
  <si>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</si>
  <si>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</si>
  <si>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</si>
  <si>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</si>
  <si>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</si>
  <si>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</si>
  <si>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</si>
  <si>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</si>
  <si>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</si>
  <si>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</si>
  <si>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</si>
  <si>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</si>
  <si>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</si>
  <si>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</si>
  <si>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</si>
  <si>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</si>
  <si>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</si>
  <si>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</si>
  <si>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</si>
  <si>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</si>
  <si>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</si>
  <si>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</si>
  <si>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</si>
  <si>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</si>
  <si>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</si>
  <si>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</si>
  <si>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</si>
  <si>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</si>
  <si>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</si>
  <si>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</si>
  <si>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</si>
  <si>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</si>
  <si>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</si>
  <si>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</si>
  <si>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</si>
  <si>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</si>
  <si>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</si>
  <si>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</si>
  <si>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</si>
  <si>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</si>
  <si>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</si>
  <si>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</si>
  <si>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</si>
  <si>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</si>
  <si>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</si>
  <si>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</si>
  <si>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</si>
  <si>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</si>
  <si>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</si>
  <si>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</si>
  <si>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</si>
  <si>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</si>
  <si>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</si>
  <si>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</si>
  <si>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</si>
  <si>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</si>
  <si>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</si>
  <si>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</si>
  <si>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</si>
  <si>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</si>
  <si>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</si>
  <si>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</si>
  <si>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</si>
  <si>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</si>
  <si>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</si>
  <si>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</si>
  <si>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</si>
  <si>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</si>
  <si>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</si>
  <si>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</si>
  <si>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</si>
  <si>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</si>
  <si>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</si>
  <si>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</si>
  <si>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</si>
  <si>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</si>
  <si>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</si>
  <si>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</si>
  <si>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</si>
  <si>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</si>
  <si>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</si>
  <si>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</si>
  <si>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</si>
  <si>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</si>
  <si>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</si>
  <si>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</si>
  <si>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</si>
  <si>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</si>
  <si>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</si>
  <si>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</si>
  <si>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</si>
  <si>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</si>
  <si>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</si>
  <si>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</si>
  <si>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</si>
  <si>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</si>
  <si>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</si>
  <si>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</si>
  <si>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</si>
  <si>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</si>
  <si>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</si>
  <si>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</si>
  <si>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</si>
  <si>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</si>
  <si>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</si>
  <si>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</si>
  <si>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</si>
  <si>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</si>
  <si>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</si>
  <si>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</si>
  <si>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</si>
  <si>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</si>
  <si>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</si>
  <si>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</si>
  <si>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</si>
  <si>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</si>
  <si>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</si>
  <si>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</si>
  <si>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</si>
  <si>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</si>
  <si>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</si>
  <si>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</si>
  <si>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</si>
  <si>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</si>
  <si>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</si>
  <si>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</si>
  <si>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</si>
  <si>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</si>
  <si>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</si>
  <si>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</si>
  <si>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</si>
  <si>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</si>
  <si>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</si>
  <si>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</si>
  <si>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</si>
  <si>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</si>
  <si>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</si>
  <si>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</si>
  <si>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</si>
  <si>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</si>
  <si>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</si>
  <si>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</si>
  <si>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</si>
  <si>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</si>
  <si>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</si>
  <si>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</si>
  <si>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</si>
  <si>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</si>
  <si>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</si>
  <si>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</si>
  <si>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</si>
  <si>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</si>
  <si>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</si>
  <si>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</si>
  <si>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</si>
  <si>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</si>
  <si>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</si>
  <si>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</si>
  <si>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</si>
  <si>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</si>
  <si>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</si>
  <si>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</si>
  <si>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</si>
  <si>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</si>
  <si>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</si>
  <si>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</si>
  <si>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</si>
  <si>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</si>
  <si>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</si>
  <si>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</si>
  <si>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</si>
  <si>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</si>
  <si>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</si>
  <si>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</si>
  <si>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</si>
  <si>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</si>
  <si>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</si>
  <si>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</si>
  <si>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</si>
  <si>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</si>
  <si>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</si>
  <si>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</si>
  <si>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</si>
  <si>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</si>
  <si>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</si>
  <si>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</si>
  <si>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</si>
  <si>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</si>
  <si>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</si>
  <si>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</si>
  <si>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</si>
  <si>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</si>
  <si>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</si>
  <si>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</si>
  <si>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</si>
  <si>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</si>
  <si>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</si>
  <si>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</si>
  <si>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</si>
  <si>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</si>
  <si>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</si>
  <si>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</si>
  <si>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</si>
  <si>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</si>
  <si>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</si>
  <si>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</si>
  <si>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</si>
  <si>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</si>
  <si>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</si>
  <si>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</si>
  <si>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</si>
  <si>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</si>
  <si>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</si>
  <si>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</si>
  <si>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</si>
  <si>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</si>
  <si>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</si>
  <si>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</si>
  <si>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</si>
  <si>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</si>
  <si>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</si>
  <si>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</si>
  <si>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</si>
  <si>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</si>
  <si>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</si>
  <si>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</si>
  <si>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</si>
  <si>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</si>
  <si>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</si>
  <si>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</si>
  <si>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</si>
  <si>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</si>
  <si>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</si>
  <si>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</si>
  <si>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</si>
  <si>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</si>
  <si>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</si>
  <si>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</si>
  <si>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</si>
  <si>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</si>
  <si>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</si>
  <si>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</si>
  <si>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</si>
  <si>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</si>
  <si>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</si>
  <si>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</si>
  <si>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</si>
  <si>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</si>
  <si>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</si>
  <si>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</si>
  <si>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</si>
  <si>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</si>
  <si>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</si>
  <si>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</si>
  <si>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</si>
  <si>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</si>
  <si>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</si>
  <si>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</si>
  <si>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</si>
  <si>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</si>
  <si>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</si>
  <si>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</si>
  <si>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</si>
  <si>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</si>
  <si>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</si>
  <si>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</si>
  <si>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</si>
  <si>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</si>
  <si>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</si>
  <si>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</si>
  <si>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</si>
  <si>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</si>
  <si>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</si>
  <si>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</si>
  <si>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</si>
  <si>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</si>
  <si>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</si>
  <si>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</si>
  <si>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</si>
  <si>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</si>
  <si>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</si>
  <si>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</si>
  <si>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</si>
  <si>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</si>
  <si>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</si>
  <si>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</si>
  <si>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</si>
  <si>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</si>
  <si>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</si>
  <si>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</si>
  <si>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</si>
  <si>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</si>
  <si>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</si>
  <si>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</si>
  <si>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</si>
  <si>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</si>
  <si>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</si>
  <si>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</si>
  <si>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</si>
  <si>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</si>
  <si>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</si>
  <si>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</si>
  <si>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</si>
  <si>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</si>
  <si>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</si>
  <si>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</si>
  <si>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</si>
  <si>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</si>
  <si>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</si>
  <si>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</si>
  <si>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</si>
  <si>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</si>
  <si>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</si>
  <si>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</si>
  <si>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</si>
  <si>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</si>
  <si>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</si>
  <si>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</si>
  <si>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</si>
  <si>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</si>
  <si>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</si>
  <si>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</si>
  <si>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</si>
  <si>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</si>
  <si>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</si>
  <si>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</si>
  <si>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</si>
  <si>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</si>
  <si>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</si>
  <si>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</si>
  <si>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</si>
  <si>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</si>
  <si>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</si>
  <si>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</si>
  <si>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</si>
  <si>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</si>
  <si>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</si>
  <si>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</si>
  <si>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</si>
  <si>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</si>
  <si>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</si>
  <si>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</si>
  <si>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</si>
  <si>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</si>
  <si>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</si>
  <si>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</si>
  <si>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</si>
  <si>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</si>
  <si>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</si>
  <si>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</si>
  <si>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</si>
  <si>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</si>
  <si>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</si>
  <si>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</si>
  <si>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</si>
  <si>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</si>
  <si>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</si>
  <si>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</si>
  <si>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</si>
  <si>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</si>
  <si>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</si>
  <si>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</si>
  <si>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</si>
  <si>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</si>
  <si>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</si>
  <si>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</si>
  <si>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</si>
  <si>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</si>
  <si>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</si>
  <si>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</si>
  <si>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</si>
  <si>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</si>
  <si>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</si>
  <si>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</si>
  <si>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</si>
  <si>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</si>
  <si>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</si>
  <si>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</si>
  <si>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</si>
  <si>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</si>
  <si>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</si>
  <si>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</si>
  <si>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</si>
  <si>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</si>
  <si>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</si>
  <si>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</si>
  <si>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</si>
  <si>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</si>
  <si>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</si>
  <si>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</si>
  <si>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</si>
  <si>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</si>
  <si>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</si>
  <si>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</si>
  <si>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</si>
  <si>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</si>
  <si>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</si>
  <si>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</si>
  <si>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</si>
  <si>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</si>
  <si>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</si>
  <si>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</si>
  <si>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</si>
  <si>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</si>
  <si>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</si>
  <si>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</si>
  <si>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</si>
  <si>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</si>
  <si>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</si>
  <si>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</si>
  <si>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</si>
  <si>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</si>
  <si>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</si>
  <si>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</si>
  <si>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</si>
  <si>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</si>
  <si>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</si>
  <si>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</si>
  <si>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</si>
  <si>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</si>
  <si>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</si>
  <si>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</si>
  <si>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</si>
  <si>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</si>
  <si>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</si>
  <si>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</si>
  <si>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</si>
  <si>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</si>
  <si>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</si>
  <si>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</si>
  <si>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</si>
  <si>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</si>
  <si>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</si>
  <si>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</si>
  <si>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</si>
  <si>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</si>
  <si>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</si>
  <si>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</si>
  <si>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</si>
  <si>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</si>
  <si>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</si>
  <si>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</si>
  <si>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</si>
  <si>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</si>
  <si>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</si>
  <si>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</si>
  <si>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</si>
  <si>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</si>
  <si>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</si>
  <si>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</si>
  <si>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</si>
  <si>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</si>
  <si>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</si>
  <si>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</si>
  <si>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</si>
  <si>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</si>
  <si>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</si>
  <si>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</si>
  <si>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</si>
  <si>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</si>
  <si>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</si>
  <si>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</si>
  <si>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</si>
  <si>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</si>
  <si>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</si>
  <si>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</si>
  <si>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</si>
  <si>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</si>
  <si>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</si>
  <si>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</si>
  <si>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</si>
  <si>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</si>
  <si>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</si>
  <si>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</si>
  <si>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</si>
  <si>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</si>
  <si>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</si>
  <si>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</si>
  <si>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</si>
  <si>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</si>
  <si>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</si>
  <si>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</si>
  <si>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</si>
  <si>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</si>
  <si>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</si>
  <si>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</si>
  <si>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</si>
  <si>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</si>
  <si>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</si>
  <si>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</si>
  <si>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</si>
  <si>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</si>
  <si>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</si>
  <si>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</si>
  <si>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</si>
  <si>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</si>
  <si>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</si>
  <si>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</si>
  <si>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</si>
  <si>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</si>
  <si>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</si>
  <si>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</si>
  <si>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</si>
  <si>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</si>
  <si>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</si>
  <si>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</si>
  <si>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</si>
  <si>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</si>
  <si>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</si>
  <si>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</si>
  <si>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</si>
  <si>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</si>
  <si>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</si>
  <si>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</si>
  <si>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</si>
  <si>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</si>
  <si>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</si>
  <si>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</si>
  <si>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</si>
  <si>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</si>
  <si>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</si>
  <si>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</si>
  <si>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</si>
  <si>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</si>
  <si>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</si>
  <si>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</si>
  <si>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</si>
  <si>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</si>
  <si>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</si>
  <si>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</si>
  <si>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</si>
  <si>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</si>
  <si>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</si>
  <si>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</si>
  <si>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</si>
  <si>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</si>
  <si>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</si>
  <si>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</si>
  <si>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</si>
  <si>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</si>
  <si>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</si>
  <si>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</si>
  <si>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</si>
  <si>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</si>
  <si>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</si>
  <si>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</si>
  <si>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</si>
  <si>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</si>
  <si>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</si>
  <si>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</si>
  <si>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</si>
  <si>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</si>
  <si>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</si>
  <si>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</si>
  <si>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</si>
  <si>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</si>
  <si>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</si>
  <si>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</si>
  <si>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</si>
  <si>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</si>
  <si>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</si>
  <si>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</si>
  <si>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</si>
  <si>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</si>
  <si>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</si>
  <si>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</si>
  <si>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</si>
  <si>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</si>
  <si>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</si>
  <si>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</si>
  <si>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</si>
  <si>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</si>
  <si>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</si>
  <si>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</si>
  <si>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</si>
  <si>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</si>
  <si>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</si>
  <si>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</si>
  <si>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</si>
  <si>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</si>
  <si>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</si>
  <si>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</si>
  <si>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</si>
  <si>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</si>
  <si>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</si>
  <si>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</si>
  <si>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</si>
  <si>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</si>
  <si>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</si>
  <si>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</si>
  <si>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</si>
  <si>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</si>
  <si>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</si>
  <si>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</si>
  <si>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</si>
  <si>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</si>
  <si>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</si>
  <si>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</si>
  <si>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</si>
  <si>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</si>
  <si>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</si>
  <si>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</si>
  <si>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</si>
  <si>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</si>
  <si>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</si>
  <si>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</si>
  <si>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</si>
  <si>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</si>
  <si>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</si>
  <si>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</si>
  <si>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</si>
  <si>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</si>
  <si>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</si>
  <si>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</si>
  <si>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</si>
  <si>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</si>
  <si>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</si>
  <si>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</si>
  <si>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</si>
  <si>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</si>
  <si>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</si>
  <si>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</si>
  <si>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</si>
  <si>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</si>
  <si>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</si>
  <si>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</si>
  <si>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</si>
  <si>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</si>
  <si>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</si>
  <si>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</si>
  <si>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</si>
  <si>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</si>
  <si>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</si>
  <si>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</si>
  <si>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</si>
  <si>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</si>
  <si>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</si>
  <si>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</si>
  <si>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</si>
  <si>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</si>
  <si>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</si>
  <si>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</si>
  <si>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</si>
  <si>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</si>
  <si>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</si>
  <si>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</si>
  <si>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</si>
  <si>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</si>
  <si>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</si>
  <si>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</si>
  <si>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</si>
  <si>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</si>
  <si>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</si>
  <si>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</si>
  <si>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</si>
  <si>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</si>
  <si>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</si>
  <si>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</si>
  <si>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</si>
  <si>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</si>
  <si>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</si>
  <si>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</si>
  <si>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</si>
  <si>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</si>
  <si>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</si>
  <si>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</si>
  <si>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</si>
  <si>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</si>
  <si>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</si>
  <si>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</si>
  <si>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</si>
  <si>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</si>
  <si>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</si>
  <si>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</si>
  <si>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</si>
  <si>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</si>
  <si>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</si>
  <si>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</si>
  <si>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</si>
  <si>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</si>
  <si>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</si>
  <si>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</si>
  <si>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</si>
  <si>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</si>
  <si>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</si>
  <si>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</si>
  <si>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</si>
  <si>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</si>
  <si>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</si>
  <si>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</si>
  <si>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</si>
  <si>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</si>
  <si>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</si>
  <si>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</si>
  <si>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</si>
  <si>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</si>
  <si>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</si>
  <si>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</si>
  <si>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</si>
  <si>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</si>
  <si>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</si>
  <si>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</si>
  <si>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</si>
  <si>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</si>
  <si>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</si>
  <si>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</si>
  <si>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</si>
  <si>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</si>
  <si>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</si>
  <si>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</si>
  <si>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</si>
  <si>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</si>
  <si>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</si>
  <si>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</si>
  <si>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</si>
  <si>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</si>
  <si>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</si>
  <si>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</si>
  <si>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</si>
  <si>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</si>
  <si>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</si>
  <si>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</si>
  <si>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</si>
  <si>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</si>
  <si>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</si>
  <si>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</si>
  <si>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</si>
  <si>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</si>
  <si>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</si>
  <si>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</si>
  <si>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</si>
  <si>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</si>
  <si>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</si>
  <si>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</si>
  <si>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</si>
  <si>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</si>
  <si>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</si>
  <si>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</si>
  <si>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</si>
  <si>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</si>
  <si>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</si>
  <si>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</si>
  <si>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</si>
  <si>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</si>
  <si>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</si>
  <si>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</si>
  <si>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</si>
  <si>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</si>
  <si>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</si>
  <si>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</si>
  <si>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</si>
  <si>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</si>
  <si>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</si>
  <si>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</si>
  <si>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</si>
  <si>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</si>
  <si>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</si>
  <si>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</si>
  <si>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</si>
  <si>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</si>
  <si>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</si>
  <si>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</si>
  <si>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</si>
  <si>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</si>
  <si>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</si>
  <si>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</si>
  <si>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</si>
  <si>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</si>
  <si>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</si>
  <si>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</si>
  <si>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</si>
  <si>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</si>
  <si>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</si>
  <si>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</si>
  <si>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</si>
  <si>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</si>
  <si>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</si>
  <si>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</si>
  <si>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</si>
  <si>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</si>
  <si>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</si>
  <si>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</si>
  <si>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</si>
  <si>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</si>
  <si>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</si>
  <si>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</si>
  <si>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</si>
  <si>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</si>
  <si>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</si>
  <si>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</si>
  <si>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</si>
  <si>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</si>
  <si>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</si>
  <si>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</si>
  <si>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</si>
  <si>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</si>
  <si>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</si>
  <si>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</si>
  <si>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</si>
  <si>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</si>
  <si>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</si>
  <si>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</si>
  <si>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</si>
  <si>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</si>
  <si>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</si>
  <si>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</si>
  <si>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</si>
  <si>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</si>
  <si>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</si>
  <si>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</si>
  <si>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</si>
  <si>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</si>
  <si>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</si>
  <si>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</si>
  <si>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</si>
  <si>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</si>
  <si>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</si>
  <si>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</si>
  <si>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</si>
  <si>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</si>
  <si>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</si>
  <si>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</si>
  <si>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</si>
  <si>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</si>
  <si>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</si>
  <si>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</si>
  <si>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</si>
  <si>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</si>
  <si>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</si>
  <si>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</si>
  <si>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</si>
  <si>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</si>
  <si>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</si>
  <si>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</si>
  <si>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</si>
  <si>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</si>
  <si>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</si>
  <si>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</si>
  <si>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</si>
  <si>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</si>
  <si>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</si>
  <si>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</si>
  <si>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</si>
  <si>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</si>
  <si>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</si>
  <si>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</si>
  <si>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</si>
  <si>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</si>
  <si>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</si>
  <si>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</si>
  <si>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</si>
  <si>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</si>
  <si>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</si>
  <si>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</si>
  <si>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</si>
  <si>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</si>
  <si>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</si>
  <si>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</si>
  <si>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</si>
  <si>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</si>
  <si>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</si>
  <si>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</si>
  <si>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</si>
  <si>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</si>
  <si>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</si>
  <si>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</si>
  <si>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</si>
  <si>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</si>
  <si>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</si>
  <si>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</si>
  <si>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</si>
  <si>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</si>
  <si>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</si>
  <si>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</si>
  <si>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</si>
  <si>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</si>
  <si>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</si>
  <si>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</si>
  <si>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</si>
  <si>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</si>
  <si>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</si>
  <si>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</si>
  <si>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</si>
  <si>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</si>
  <si>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</si>
  <si>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</si>
  <si>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</si>
  <si>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</si>
  <si>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</si>
  <si>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</si>
  <si>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</si>
  <si>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</si>
  <si>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</si>
  <si>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</si>
  <si>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</si>
  <si>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</si>
  <si>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</si>
  <si>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</si>
  <si>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</si>
  <si>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</si>
  <si>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</si>
  <si>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</si>
  <si>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</si>
  <si>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</si>
  <si>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</si>
  <si>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</si>
  <si>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</si>
  <si>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</si>
  <si>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</si>
  <si>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</si>
  <si>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</si>
  <si>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</si>
  <si>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</si>
  <si>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</si>
  <si>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</si>
  <si>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</si>
  <si>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</si>
  <si>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</si>
  <si>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</si>
  <si>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</si>
  <si>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</si>
  <si>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</si>
  <si>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</si>
  <si>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</si>
  <si>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</si>
  <si>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</si>
  <si>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</si>
  <si>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</si>
  <si>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</si>
  <si>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</si>
  <si>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</si>
  <si>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</si>
  <si>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</si>
  <si>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</si>
  <si>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</si>
  <si>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</si>
  <si>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</si>
  <si>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</si>
  <si>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</si>
  <si>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</si>
  <si>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</si>
  <si>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</si>
  <si>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</si>
  <si>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</si>
  <si>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</si>
  <si>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</si>
  <si>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</si>
  <si>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</si>
  <si>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</si>
  <si>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</si>
  <si>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</si>
  <si>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</si>
  <si>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</si>
  <si>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</si>
  <si>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</si>
  <si>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</si>
  <si>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</si>
  <si>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</si>
  <si>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</si>
  <si>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</si>
  <si>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</si>
  <si>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</si>
  <si>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</si>
  <si>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</si>
  <si>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</si>
  <si>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</si>
  <si>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</si>
  <si>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</si>
  <si>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</si>
  <si>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</si>
  <si>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</si>
  <si>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</si>
  <si>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</si>
  <si>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</si>
  <si>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</si>
  <si>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</si>
  <si>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</si>
  <si>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</si>
  <si>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</si>
  <si>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</si>
  <si>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</si>
  <si>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</si>
  <si>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</si>
  <si>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</si>
  <si>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</si>
  <si>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</si>
  <si>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</si>
  <si>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</si>
  <si>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</si>
  <si>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</si>
  <si>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</si>
  <si>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</si>
  <si>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</si>
  <si>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</si>
  <si>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</si>
  <si>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</si>
  <si>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</si>
  <si>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</si>
  <si>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</si>
  <si>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</si>
  <si>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</si>
  <si>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</si>
  <si>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</si>
  <si>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</si>
  <si>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</si>
  <si>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</si>
  <si>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</si>
  <si>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</si>
  <si>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</si>
  <si>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</si>
  <si>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</si>
  <si>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</si>
  <si>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</si>
  <si>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</si>
  <si>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</si>
  <si>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</si>
  <si>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</si>
  <si>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</si>
  <si>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</si>
  <si>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</si>
  <si>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</si>
  <si>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</si>
  <si>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</si>
  <si>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</si>
  <si>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</si>
  <si>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</si>
  <si>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</si>
  <si>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</si>
  <si>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</si>
  <si>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</si>
  <si>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</si>
  <si>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</si>
  <si>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</si>
  <si>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</si>
  <si>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</si>
  <si>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</si>
  <si>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</si>
  <si>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</si>
  <si>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</si>
  <si>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</si>
  <si>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</si>
  <si>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</si>
  <si>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</si>
  <si>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</si>
  <si>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</si>
  <si>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</si>
  <si>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</si>
  <si>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</si>
  <si>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</si>
  <si>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</si>
  <si>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</si>
  <si>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</si>
  <si>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</si>
  <si>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</si>
  <si>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</si>
  <si>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</si>
  <si>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</si>
  <si>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</si>
  <si>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</si>
  <si>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</si>
  <si>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</si>
  <si>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</si>
  <si>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</si>
  <si>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</si>
  <si>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</si>
  <si>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</si>
  <si>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</si>
  <si>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</si>
  <si>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</si>
  <si>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</si>
  <si>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</si>
  <si>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</si>
  <si>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</si>
  <si>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</si>
  <si>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</si>
  <si>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</si>
  <si>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</si>
  <si>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</si>
  <si>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</si>
  <si>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</si>
  <si>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</si>
  <si>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</si>
  <si>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</si>
  <si>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</si>
  <si>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</si>
  <si>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</si>
  <si>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</si>
  <si>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</si>
  <si>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</si>
  <si>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</si>
  <si>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</si>
  <si>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</si>
  <si>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</si>
  <si>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</si>
  <si>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</si>
  <si>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</si>
  <si>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</si>
  <si>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</si>
  <si>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</si>
  <si>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</si>
  <si>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</si>
  <si>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</si>
  <si>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</si>
  <si>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</si>
  <si>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</si>
  <si>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</si>
  <si>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</si>
  <si>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</si>
  <si>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</si>
  <si>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</si>
  <si>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</si>
  <si>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</si>
  <si>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</si>
  <si>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</si>
  <si>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</si>
  <si>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</si>
  <si>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</si>
  <si>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</si>
  <si>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</si>
  <si>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</si>
  <si>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</si>
  <si>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</si>
  <si>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</si>
  <si>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</si>
  <si>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</si>
  <si>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</si>
  <si>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</si>
  <si>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</si>
  <si>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</si>
  <si>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</si>
  <si>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</si>
  <si>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</si>
  <si>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</si>
  <si>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</si>
  <si>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</si>
  <si>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</si>
  <si>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</si>
  <si>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</si>
  <si>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</si>
  <si>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</si>
  <si>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</si>
  <si>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</si>
  <si>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</si>
  <si>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</si>
  <si>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</si>
  <si>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</si>
  <si>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</si>
  <si>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</si>
  <si>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</si>
  <si>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</si>
  <si>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</si>
  <si>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</si>
  <si>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</si>
  <si>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</si>
  <si>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</si>
  <si>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</si>
  <si>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</si>
  <si>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</si>
  <si>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</si>
  <si>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</si>
  <si>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</si>
  <si>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</si>
  <si>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</si>
  <si>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</si>
  <si>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</si>
  <si>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</si>
  <si>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</si>
  <si>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</si>
  <si>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</si>
  <si>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</si>
  <si>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</si>
  <si>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</si>
  <si>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</si>
  <si>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</si>
  <si>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</si>
  <si>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</si>
  <si>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</si>
  <si>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</si>
  <si>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</si>
  <si>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</si>
  <si>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</si>
  <si>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</si>
  <si>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</si>
  <si>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</si>
  <si>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</si>
  <si>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</si>
  <si>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</si>
  <si>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</si>
  <si>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</si>
  <si>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</si>
  <si>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</si>
  <si>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</si>
  <si>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</si>
  <si>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</si>
  <si>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</si>
  <si>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</si>
  <si>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</si>
  <si>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</si>
  <si>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</si>
  <si>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</si>
  <si>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</si>
  <si>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</si>
  <si>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</si>
  <si>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</si>
  <si>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</si>
  <si>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</si>
  <si>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</si>
  <si>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</si>
  <si>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</si>
  <si>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</si>
  <si>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</si>
  <si>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</si>
  <si>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</si>
  <si>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</si>
  <si>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</si>
  <si>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</si>
  <si>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</si>
  <si>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</si>
  <si>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</si>
  <si>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</si>
  <si>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</si>
  <si>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</si>
  <si>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</si>
  <si>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</si>
  <si>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</si>
  <si>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</si>
  <si>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</si>
  <si>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</si>
  <si>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</si>
  <si>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</si>
  <si>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</si>
  <si>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</si>
  <si>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</si>
  <si>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</si>
  <si>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</si>
  <si>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</si>
  <si>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</si>
  <si>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</si>
  <si>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</si>
  <si>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</si>
  <si>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</si>
  <si>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</si>
  <si>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</si>
  <si>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</si>
  <si>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</si>
  <si>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</si>
  <si>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</si>
  <si>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</si>
  <si>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</si>
  <si>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</si>
  <si>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</si>
  <si>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</si>
  <si>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</si>
  <si>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</si>
  <si>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</si>
  <si>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</si>
  <si>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</si>
  <si>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</si>
  <si>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</si>
  <si>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</si>
  <si>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</si>
  <si>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</si>
  <si>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</si>
  <si>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</si>
  <si>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</si>
  <si>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</si>
  <si>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</si>
  <si>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</si>
  <si>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</si>
  <si>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</si>
  <si>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</si>
  <si>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</si>
  <si>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</si>
  <si>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</si>
  <si>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</si>
  <si>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</si>
  <si>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</si>
  <si>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</si>
  <si>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</si>
  <si>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</si>
  <si>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</si>
  <si>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</si>
  <si>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</si>
  <si>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</si>
  <si>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</si>
  <si>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</si>
  <si>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</si>
  <si>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</si>
  <si>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</si>
  <si>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</si>
  <si>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</si>
  <si>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</si>
  <si>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</si>
  <si>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</si>
  <si>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</si>
  <si>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</si>
  <si>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</si>
  <si>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</si>
  <si>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</si>
  <si>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</si>
  <si>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</si>
  <si>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</si>
  <si>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</si>
  <si>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</si>
  <si>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</si>
  <si>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</si>
  <si>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</si>
  <si>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</si>
  <si>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</si>
  <si>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</si>
  <si>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</si>
  <si>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</si>
  <si>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</si>
  <si>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</si>
  <si>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</si>
  <si>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</si>
  <si>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</si>
  <si>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</si>
  <si>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</si>
  <si>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</si>
  <si>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</si>
  <si>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</si>
  <si>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</si>
  <si>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</si>
  <si>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</si>
  <si>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</si>
  <si>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</si>
  <si>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</si>
  <si>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</si>
  <si>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</si>
  <si>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</si>
  <si>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</si>
  <si>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</si>
  <si>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</si>
  <si>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</si>
  <si>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</si>
  <si>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</si>
  <si>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</si>
  <si>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</si>
  <si>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</si>
  <si>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</si>
  <si>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</si>
  <si>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</si>
  <si>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</si>
  <si>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</si>
  <si>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</si>
  <si>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</si>
  <si>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</si>
  <si>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</si>
  <si>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</si>
  <si>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</si>
  <si>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</si>
  <si>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</si>
  <si>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</si>
  <si>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</si>
  <si>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</si>
  <si>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</si>
  <si>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</si>
  <si>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</si>
  <si>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</si>
  <si>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</si>
  <si>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</si>
  <si>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</si>
  <si>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</si>
  <si>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</si>
  <si>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</si>
  <si>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</si>
  <si>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</si>
  <si>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</si>
  <si>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</si>
  <si>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</si>
  <si>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</si>
  <si>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</si>
  <si>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</si>
  <si>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</si>
  <si>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</si>
  <si>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</si>
  <si>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</si>
  <si>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</si>
  <si>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</si>
  <si>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</si>
  <si>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</si>
  <si>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</si>
  <si>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</si>
  <si>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</si>
  <si>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</si>
  <si>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</si>
  <si>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</si>
  <si>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</si>
  <si>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</si>
  <si>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</si>
  <si>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</si>
  <si>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</si>
  <si>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</si>
  <si>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</si>
  <si>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</si>
  <si>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</si>
  <si>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</si>
  <si>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</si>
  <si>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</si>
  <si>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</si>
  <si>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</si>
  <si>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</si>
  <si>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</si>
  <si>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</si>
  <si>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</si>
  <si>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</si>
  <si>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</si>
  <si>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</si>
  <si>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</si>
  <si>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</si>
  <si>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</si>
  <si>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</si>
  <si>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</si>
  <si>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</si>
  <si>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</si>
  <si>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</si>
  <si>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</si>
  <si>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</si>
  <si>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</si>
  <si>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</si>
  <si>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</si>
  <si>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</si>
  <si>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</si>
  <si>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</si>
  <si>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</si>
  <si>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</si>
  <si>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</si>
  <si>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</si>
  <si>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</si>
  <si>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</si>
  <si>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</si>
  <si>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</si>
  <si>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</si>
  <si>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</si>
  <si>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</si>
  <si>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</si>
  <si>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</si>
  <si>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</si>
  <si>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</si>
  <si>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</si>
  <si>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</si>
  <si>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</si>
  <si>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</si>
  <si>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</si>
  <si>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</si>
  <si>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</si>
  <si>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</si>
  <si>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</si>
  <si>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</si>
  <si>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</si>
  <si>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</si>
  <si>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</si>
  <si>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</si>
  <si>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</si>
  <si>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</si>
  <si>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</si>
  <si>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</si>
  <si>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</si>
  <si>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</si>
  <si>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</si>
  <si>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</si>
  <si>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</si>
  <si>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</si>
  <si>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</si>
  <si>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</si>
  <si>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</si>
  <si>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</si>
  <si>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</si>
  <si>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</si>
  <si>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</si>
  <si>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</si>
  <si>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</si>
  <si>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</si>
  <si>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</si>
  <si>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</si>
  <si>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</si>
  <si>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</si>
  <si>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</si>
  <si>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</si>
  <si>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</si>
  <si>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</si>
  <si>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</si>
  <si>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</si>
  <si>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</si>
  <si>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</si>
  <si>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</si>
  <si>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</si>
  <si>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</si>
  <si>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</si>
  <si>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</si>
  <si>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</si>
  <si>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</si>
  <si>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</si>
  <si>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</si>
  <si>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</si>
  <si>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</si>
  <si>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</si>
  <si>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</si>
  <si>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</si>
  <si>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</si>
  <si>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</si>
  <si>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</si>
  <si>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</si>
  <si>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</si>
  <si>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</si>
  <si>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</si>
  <si>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</si>
  <si>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</si>
  <si>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</si>
  <si>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</si>
  <si>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</si>
  <si>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</si>
  <si>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</si>
  <si>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</si>
  <si>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</si>
  <si>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</si>
  <si>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</si>
  <si>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</si>
  <si>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</si>
  <si>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</si>
  <si>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</si>
  <si>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</si>
  <si>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</si>
  <si>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</si>
  <si>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</si>
  <si>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</si>
  <si>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</si>
  <si>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</si>
  <si>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</si>
  <si>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</si>
  <si>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</si>
  <si>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</si>
  <si>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</si>
  <si>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</si>
  <si>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</si>
  <si>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</si>
  <si>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</si>
  <si>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</si>
  <si>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</si>
  <si>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</si>
  <si>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</si>
  <si>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</si>
  <si>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</si>
  <si>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</si>
  <si>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</si>
  <si>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</si>
  <si>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</si>
  <si>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</si>
  <si>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</si>
  <si>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</si>
  <si>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</si>
  <si>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</si>
  <si>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</si>
  <si>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</si>
  <si>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</si>
  <si>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</si>
  <si>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</si>
  <si>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</si>
  <si>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</si>
  <si>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</si>
  <si>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</si>
  <si>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</si>
  <si>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</si>
  <si>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</si>
  <si>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</si>
  <si>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</si>
  <si>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</si>
  <si>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</si>
  <si>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</si>
  <si>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</si>
  <si>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</si>
  <si>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</si>
  <si>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</si>
  <si>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</si>
  <si>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</si>
  <si>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</si>
  <si>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</si>
  <si>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</si>
  <si>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</si>
  <si>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</si>
  <si>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</si>
  <si>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</si>
  <si>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</si>
  <si>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</si>
  <si>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</si>
  <si>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</si>
  <si>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</si>
  <si>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</si>
  <si>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</si>
  <si>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</si>
  <si>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</si>
  <si>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</si>
  <si>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</si>
  <si>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</si>
  <si>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</si>
  <si>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</si>
  <si>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</si>
  <si>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</si>
  <si>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</si>
  <si>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</si>
  <si>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</si>
  <si>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</si>
  <si>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</si>
  <si>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</si>
  <si>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</si>
  <si>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</si>
  <si>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</si>
  <si>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</si>
  <si>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</si>
  <si>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</si>
  <si>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</si>
  <si>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</si>
  <si>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</si>
  <si>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</si>
  <si>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</si>
  <si>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</si>
  <si>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</si>
  <si>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</si>
  <si>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</si>
  <si>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</si>
  <si>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</si>
  <si>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</si>
  <si>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</si>
  <si>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</si>
  <si>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</si>
  <si>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</si>
  <si>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</si>
  <si>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</si>
  <si>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</si>
  <si>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</si>
  <si>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</si>
  <si>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</si>
  <si>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</si>
  <si>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</si>
  <si>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</si>
  <si>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</si>
  <si>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</si>
  <si>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</si>
  <si>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</si>
  <si>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</si>
  <si>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</si>
  <si>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</si>
  <si>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</si>
  <si>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</si>
  <si>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</si>
  <si>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</si>
  <si>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</si>
  <si>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</si>
  <si>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</si>
  <si>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</si>
  <si>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</si>
  <si>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</si>
  <si>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</si>
  <si>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</si>
  <si>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</si>
  <si>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</si>
  <si>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</si>
  <si>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</si>
  <si>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</si>
  <si>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</si>
  <si>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</si>
  <si>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</si>
  <si>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</si>
  <si>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</si>
  <si>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</si>
  <si>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</si>
  <si>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</si>
  <si>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</si>
  <si>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</si>
  <si>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</si>
  <si>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</si>
  <si>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</si>
  <si>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</si>
  <si>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</si>
  <si>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</si>
  <si>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</si>
  <si>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</si>
  <si>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</si>
  <si>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</si>
  <si>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</si>
  <si>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</si>
  <si>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</si>
  <si>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</si>
  <si>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</si>
  <si>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</si>
  <si>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</si>
  <si>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</si>
  <si>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</si>
  <si>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</si>
  <si>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</si>
  <si>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</si>
  <si>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</si>
  <si>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</si>
  <si>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</si>
  <si>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</si>
  <si>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</si>
  <si>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</si>
  <si>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</si>
  <si>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</si>
  <si>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</si>
  <si>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</si>
  <si>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</si>
  <si>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</si>
  <si>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</si>
  <si>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</si>
  <si>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</si>
  <si>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</si>
  <si>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</si>
  <si>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</si>
  <si>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</si>
  <si>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</si>
  <si>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</si>
  <si>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</si>
  <si>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</si>
  <si>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</si>
  <si>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</si>
  <si>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</si>
  <si>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</si>
  <si>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</si>
  <si>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</si>
  <si>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</si>
  <si>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</si>
  <si>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</si>
  <si>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</si>
  <si>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</si>
  <si>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</si>
  <si>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</si>
  <si>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</si>
  <si>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</si>
  <si>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</si>
  <si>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</si>
  <si>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</si>
  <si>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</si>
  <si>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</si>
  <si>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</si>
  <si>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</si>
  <si>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</si>
  <si>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</si>
  <si>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</si>
  <si>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</si>
  <si>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</si>
  <si>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</si>
  <si>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</si>
  <si>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</si>
  <si>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</si>
  <si>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</si>
  <si>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</si>
  <si>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</si>
  <si>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</si>
  <si>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</si>
  <si>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</si>
  <si>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</si>
  <si>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</si>
  <si>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</si>
  <si>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</si>
  <si>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</si>
  <si>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</si>
  <si>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</si>
  <si>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</si>
  <si>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</si>
  <si>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</si>
  <si>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</si>
  <si>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</si>
  <si>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</si>
  <si>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</si>
  <si>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</si>
  <si>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</si>
  <si>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</si>
  <si>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</si>
  <si>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</si>
  <si>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</si>
  <si>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</si>
  <si>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</si>
  <si>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</si>
  <si>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</si>
  <si>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</si>
  <si>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</si>
  <si>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</si>
  <si>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</si>
  <si>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</si>
  <si>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</si>
  <si>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</si>
  <si>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</si>
  <si>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</si>
  <si>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</si>
  <si>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</si>
  <si>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</si>
  <si>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</si>
  <si>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</si>
  <si>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</si>
  <si>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</si>
  <si>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</si>
  <si>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</si>
  <si>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</si>
  <si>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</si>
  <si>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</si>
  <si>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</si>
  <si>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</si>
  <si>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</si>
  <si>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</si>
  <si>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</si>
  <si>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</si>
  <si>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</si>
  <si>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</si>
  <si>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</si>
  <si>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</si>
  <si>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</si>
  <si>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</si>
  <si>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</si>
  <si>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</si>
  <si>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</si>
  <si>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</si>
  <si>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</si>
  <si>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</si>
  <si>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</si>
  <si>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</si>
  <si>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</si>
  <si>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</si>
  <si>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</si>
  <si>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</si>
  <si>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</si>
  <si>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</si>
  <si>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</si>
  <si>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</si>
  <si>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</si>
  <si>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</si>
  <si>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</si>
  <si>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</si>
  <si>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</si>
  <si>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</si>
  <si>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</si>
  <si>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</si>
  <si>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</si>
  <si>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</si>
  <si>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</si>
  <si>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</si>
  <si>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</si>
  <si>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</si>
  <si>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</si>
  <si>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</si>
  <si>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</si>
  <si>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</si>
  <si>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</si>
  <si>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</si>
  <si>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</si>
  <si>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</si>
  <si>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</si>
  <si>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</si>
  <si>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</si>
  <si>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</si>
  <si>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</si>
  <si>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</si>
  <si>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</si>
  <si>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</si>
  <si>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</si>
  <si>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</si>
  <si>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</si>
  <si>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</si>
  <si>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</si>
  <si>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</si>
  <si>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</si>
  <si>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</si>
  <si>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</si>
  <si>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</si>
  <si>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</si>
  <si>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</si>
  <si>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</si>
  <si>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</si>
  <si>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</si>
  <si>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</si>
  <si>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</si>
  <si>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</si>
  <si>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</si>
  <si>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</si>
  <si>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</si>
  <si>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</si>
  <si>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</si>
  <si>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</si>
  <si>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</si>
  <si>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</si>
  <si>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</si>
  <si>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</si>
  <si>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</si>
  <si>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</si>
  <si>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</si>
  <si>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</si>
  <si>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</si>
  <si>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</si>
  <si>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</si>
  <si>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</si>
  <si>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</si>
  <si>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</si>
  <si>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</si>
  <si>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</si>
  <si>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</si>
  <si>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</si>
  <si>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</si>
  <si>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</si>
  <si>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</si>
  <si>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</si>
  <si>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</si>
  <si>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</si>
  <si>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</si>
  <si>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</si>
  <si>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</si>
  <si>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</si>
  <si>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</si>
  <si>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</si>
  <si>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</si>
  <si>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</si>
  <si>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</si>
  <si>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</si>
  <si>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</si>
  <si>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</si>
  <si>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</si>
  <si>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</si>
  <si>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</si>
  <si>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</si>
  <si>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</si>
  <si>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</si>
  <si>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</si>
  <si>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</si>
  <si>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</si>
  <si>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</si>
  <si>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</si>
  <si>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</si>
  <si>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</si>
  <si>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</si>
  <si>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</si>
  <si>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</si>
  <si>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</si>
  <si>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</si>
  <si>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</si>
  <si>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</si>
  <si>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</si>
  <si>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</si>
  <si>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</si>
  <si>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</si>
  <si>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</si>
  <si>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</si>
  <si>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</si>
  <si>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</si>
  <si>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</si>
  <si>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</si>
  <si>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</si>
  <si>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</si>
  <si>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</si>
  <si>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</si>
  <si>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</si>
  <si>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</si>
  <si>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</si>
  <si>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</si>
  <si>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</si>
  <si>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</si>
  <si>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</si>
  <si>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</si>
  <si>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</si>
  <si>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</si>
  <si>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</si>
  <si>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</si>
  <si>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</si>
  <si>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</si>
  <si>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</si>
  <si>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</si>
  <si>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</si>
  <si>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</si>
  <si>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</si>
  <si>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</si>
  <si>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</si>
  <si>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</si>
  <si>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</si>
  <si>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</si>
  <si>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</si>
  <si>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</si>
  <si>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</si>
  <si>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</si>
  <si>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</si>
  <si>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</si>
  <si>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</si>
  <si>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</si>
  <si>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</si>
  <si>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</si>
  <si>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</si>
  <si>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</si>
  <si>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</si>
  <si>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</si>
  <si>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</si>
  <si>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</si>
  <si>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</si>
  <si>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</si>
  <si>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</si>
  <si>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</si>
  <si>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</si>
  <si>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</si>
  <si>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</si>
  <si>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</si>
  <si>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</si>
  <si>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</si>
  <si>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</si>
  <si>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</si>
  <si>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</si>
  <si>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</si>
  <si>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</si>
  <si>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</si>
  <si>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</si>
  <si>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</si>
  <si>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</si>
  <si>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</si>
  <si>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</si>
  <si>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</si>
  <si>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</si>
  <si>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</si>
  <si>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</si>
  <si>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</si>
  <si>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</si>
  <si>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</si>
  <si>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</si>
  <si>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</si>
  <si>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</si>
  <si>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</si>
  <si>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</si>
  <si>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</si>
  <si>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</si>
  <si>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</si>
  <si>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</si>
  <si>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</si>
  <si>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</si>
  <si>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</si>
  <si>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</si>
  <si>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</si>
  <si>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</si>
  <si>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</si>
  <si>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</si>
  <si>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</si>
  <si>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</si>
  <si>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</si>
  <si>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</si>
  <si>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</si>
  <si>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</si>
  <si>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</si>
  <si>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</si>
  <si>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</si>
  <si>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</si>
  <si>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</si>
  <si>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</si>
  <si>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</si>
  <si>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</si>
  <si>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</si>
  <si>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</si>
  <si>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</si>
  <si>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</si>
  <si>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</si>
  <si>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</si>
  <si>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</si>
  <si>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</si>
  <si>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</si>
  <si>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</si>
  <si>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</si>
  <si>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</si>
  <si>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</si>
  <si>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</si>
  <si>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</si>
  <si>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</si>
  <si>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</si>
  <si>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</si>
  <si>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</si>
  <si>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</si>
  <si>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</si>
  <si>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</si>
  <si>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</si>
  <si>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</si>
  <si>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</si>
  <si>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</si>
  <si>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</si>
  <si>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</si>
  <si>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</si>
  <si>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</si>
  <si>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</si>
  <si>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</si>
  <si>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</si>
  <si>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</si>
  <si>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</si>
  <si>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</si>
  <si>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</si>
  <si>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</si>
  <si>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</si>
  <si>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</si>
  <si>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</si>
  <si>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</si>
  <si>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</si>
  <si>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</si>
  <si>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</si>
  <si>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</si>
  <si>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</si>
  <si>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</si>
  <si>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</si>
  <si>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</si>
  <si>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</si>
  <si>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</si>
  <si>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</si>
  <si>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</si>
  <si>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</si>
  <si>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</si>
  <si>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</si>
  <si>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</si>
  <si>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</si>
  <si>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</si>
  <si>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</si>
  <si>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</si>
  <si>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</si>
  <si>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</si>
  <si>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</si>
  <si>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</si>
  <si>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</si>
  <si>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</si>
  <si>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</si>
  <si>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</si>
  <si>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</si>
  <si>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</si>
  <si>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</si>
  <si>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</si>
  <si>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</si>
  <si>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</si>
  <si>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</si>
  <si>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</si>
  <si>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</si>
  <si>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</si>
  <si>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</si>
  <si>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</si>
  <si>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</si>
  <si>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</si>
  <si>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</si>
  <si>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</si>
  <si>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</si>
  <si>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</si>
  <si>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</si>
  <si>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</si>
  <si>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</si>
  <si>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</si>
  <si>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</si>
  <si>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</si>
  <si>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</si>
  <si>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</si>
  <si>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</si>
  <si>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</si>
  <si>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</si>
  <si>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</si>
  <si>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</si>
  <si>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</si>
  <si>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</si>
  <si>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</si>
  <si>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</si>
  <si>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</si>
  <si>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</si>
  <si>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</si>
  <si>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</si>
  <si>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</si>
  <si>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</si>
  <si>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</si>
  <si>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</si>
  <si>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</si>
  <si>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</si>
  <si>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</si>
  <si>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</si>
  <si>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</si>
  <si>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</si>
  <si>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</si>
  <si>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</si>
  <si>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</si>
  <si>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</si>
  <si>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</si>
  <si>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</si>
  <si>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</si>
  <si>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</si>
  <si>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</si>
  <si>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</si>
  <si>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</si>
  <si>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</si>
  <si>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</si>
  <si>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</si>
  <si>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</si>
  <si>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</si>
  <si>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</si>
  <si>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</si>
  <si>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</si>
  <si>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</si>
  <si>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</si>
  <si>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</si>
  <si>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</si>
  <si>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</si>
  <si>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</si>
  <si>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</si>
  <si>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</si>
  <si>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</si>
  <si>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</si>
  <si>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</si>
  <si>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</si>
  <si>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</si>
  <si>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</si>
  <si>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</si>
  <si>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</si>
  <si>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</si>
  <si>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</si>
  <si>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</si>
  <si>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</si>
  <si>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</si>
  <si>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</si>
  <si>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</si>
  <si>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</si>
  <si>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</si>
  <si>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</si>
  <si>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</si>
  <si>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</si>
  <si>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</si>
  <si>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</si>
  <si>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</si>
  <si>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</si>
  <si>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</si>
  <si>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</si>
  <si>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</si>
  <si>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</si>
  <si>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</si>
  <si>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</si>
  <si>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</si>
  <si>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</si>
  <si>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</si>
  <si>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</si>
  <si>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</si>
  <si>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</si>
  <si>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</si>
  <si>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</si>
  <si>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</si>
  <si>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</si>
  <si>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</si>
  <si>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</si>
  <si>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</si>
  <si>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</si>
  <si>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</si>
  <si>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</si>
  <si>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</si>
  <si>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</si>
  <si>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</si>
  <si>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</si>
  <si>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</si>
  <si>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</si>
  <si>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</si>
  <si>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</si>
  <si>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</si>
  <si>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</si>
  <si>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</si>
  <si>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</si>
  <si>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</si>
  <si>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</si>
  <si>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</si>
  <si>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</si>
  <si>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</si>
  <si>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</si>
  <si>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</si>
  <si>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</si>
  <si>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</si>
  <si>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</si>
  <si>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</si>
  <si>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</si>
  <si>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</si>
  <si>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</si>
  <si>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</si>
  <si>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</si>
  <si>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</si>
  <si>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</si>
  <si>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</si>
  <si>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</si>
  <si>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</si>
  <si>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</si>
  <si>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</si>
  <si>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</si>
  <si>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</si>
  <si>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</si>
  <si>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</si>
  <si>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</si>
  <si>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</si>
  <si>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</si>
  <si>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</si>
  <si>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</si>
  <si>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</si>
  <si>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</si>
  <si>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</si>
  <si>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</si>
  <si>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</si>
  <si>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</si>
  <si>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</si>
  <si>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</si>
  <si>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</si>
  <si>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</si>
  <si>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</si>
  <si>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</si>
  <si>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</si>
  <si>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</si>
  <si>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</si>
  <si>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</si>
  <si>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</si>
  <si>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</si>
  <si>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</si>
  <si>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</si>
  <si>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</si>
  <si>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</si>
  <si>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</si>
  <si>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</si>
  <si>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</si>
  <si>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</si>
  <si>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</si>
  <si>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</si>
  <si>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</si>
  <si>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</si>
  <si>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</si>
  <si>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</si>
  <si>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</si>
  <si>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</si>
  <si>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</si>
  <si>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</si>
  <si>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</si>
  <si>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</si>
  <si>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</si>
  <si>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</si>
  <si>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</si>
  <si>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</si>
  <si>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</si>
  <si>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</si>
  <si>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</si>
  <si>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</si>
  <si>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</si>
  <si>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</si>
  <si>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</si>
  <si>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</si>
  <si>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</si>
  <si>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</si>
  <si>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</si>
  <si>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</si>
  <si>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</si>
  <si>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</si>
  <si>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</si>
  <si>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</si>
  <si>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</si>
  <si>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</si>
  <si>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</si>
  <si>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</si>
  <si>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</si>
  <si>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</si>
  <si>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</si>
  <si>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</si>
  <si>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</si>
  <si>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</si>
  <si>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</si>
  <si>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</si>
  <si>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</si>
  <si>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</si>
  <si>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</si>
  <si>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</si>
  <si>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</si>
  <si>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</si>
  <si>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</si>
  <si>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</si>
  <si>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</si>
  <si>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</si>
  <si>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</si>
  <si>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</si>
  <si>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</si>
  <si>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</si>
  <si>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</si>
  <si>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</si>
  <si>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</si>
  <si>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</si>
  <si>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</si>
  <si>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</si>
  <si>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</si>
  <si>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</si>
  <si>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</si>
  <si>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</si>
  <si>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</si>
  <si>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</si>
  <si>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</si>
  <si>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</si>
  <si>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</si>
  <si>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</si>
  <si>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</si>
  <si>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</si>
  <si>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</si>
  <si>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</si>
  <si>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</si>
  <si>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</si>
  <si>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</si>
  <si>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</si>
  <si>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</si>
  <si>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</si>
  <si>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</si>
  <si>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</si>
  <si>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</si>
  <si>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</si>
  <si>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</si>
  <si>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</si>
  <si>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</si>
  <si>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</si>
  <si>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</si>
  <si>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</si>
  <si>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</si>
  <si>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</si>
  <si>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</si>
  <si>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</si>
  <si>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</si>
  <si>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</si>
  <si>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</si>
  <si>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</si>
  <si>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</si>
  <si>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</si>
  <si>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</si>
  <si>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</si>
  <si>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</si>
  <si>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</si>
  <si>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</si>
  <si>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</si>
  <si>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</si>
  <si>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</si>
  <si>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</si>
  <si>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</si>
  <si>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</si>
  <si>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</si>
  <si>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</si>
  <si>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</si>
  <si>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</si>
  <si>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</si>
  <si>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</si>
  <si>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</si>
  <si>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</si>
  <si>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</si>
  <si>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</si>
  <si>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</si>
  <si>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</si>
  <si>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</si>
  <si>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</si>
  <si>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</si>
  <si>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</si>
  <si>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</si>
  <si>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</si>
  <si>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</si>
  <si>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</si>
  <si>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</si>
  <si>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</si>
  <si>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</si>
  <si>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</si>
  <si>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</si>
  <si>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</si>
  <si>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</si>
  <si>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</si>
  <si>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</si>
  <si>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</si>
  <si>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</si>
  <si>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</si>
  <si>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</si>
  <si>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</si>
  <si>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</si>
  <si>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</si>
  <si>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</si>
  <si>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</si>
  <si>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</si>
  <si>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</si>
  <si>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</si>
  <si>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</si>
  <si>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</si>
  <si>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</si>
  <si>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</si>
  <si>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</si>
  <si>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</si>
  <si>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</si>
  <si>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</si>
  <si>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</si>
  <si>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</si>
  <si>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</si>
  <si>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</si>
  <si>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</si>
  <si>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</si>
  <si>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</si>
  <si>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</si>
  <si>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</si>
  <si>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</si>
  <si>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</si>
  <si>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</si>
  <si>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</si>
  <si>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</si>
  <si>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</si>
  <si>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</si>
  <si>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</si>
  <si>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</si>
  <si>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</si>
  <si>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</si>
  <si>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</si>
  <si>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</si>
  <si>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</si>
  <si>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</si>
  <si>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</si>
  <si>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</si>
  <si>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</si>
  <si>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</si>
  <si>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</si>
  <si>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</si>
  <si>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</si>
  <si>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</si>
  <si>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</si>
  <si>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</si>
  <si>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</si>
  <si>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</si>
  <si>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</si>
  <si>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</si>
  <si>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</si>
  <si>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</si>
  <si>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</si>
  <si>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</si>
  <si>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</si>
  <si>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</si>
  <si>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</si>
  <si>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</si>
  <si>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</si>
  <si>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</si>
  <si>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</si>
  <si>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</si>
  <si>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</si>
  <si>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</si>
  <si>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</si>
  <si>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</si>
  <si>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</si>
  <si>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</si>
  <si>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</si>
  <si>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</si>
  <si>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</si>
  <si>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</si>
  <si>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</si>
  <si>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</si>
  <si>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</si>
  <si>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</si>
  <si>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</si>
  <si>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</si>
  <si>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</si>
  <si>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</si>
  <si>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</si>
  <si>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</si>
  <si>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</si>
  <si>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</si>
  <si>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</si>
  <si>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</si>
  <si>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</si>
  <si>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</si>
  <si>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</si>
  <si>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</si>
  <si>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</si>
  <si>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</si>
  <si>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</si>
  <si>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</si>
  <si>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</si>
  <si>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</si>
  <si>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</si>
  <si>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</si>
  <si>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</si>
  <si>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</si>
  <si>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</si>
  <si>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</si>
  <si>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</si>
  <si>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</si>
  <si>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</si>
  <si>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</si>
  <si>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</si>
  <si>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</si>
  <si>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</si>
  <si>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</si>
  <si>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</si>
  <si>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</si>
  <si>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</si>
  <si>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</si>
  <si>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</si>
  <si>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</si>
  <si>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</si>
  <si>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</si>
  <si>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</si>
  <si>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</si>
  <si>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</si>
  <si>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</si>
  <si>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</si>
  <si>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</si>
  <si>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</si>
  <si>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</si>
  <si>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</si>
  <si>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</si>
  <si>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</si>
  <si>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</si>
  <si>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</si>
  <si>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</si>
  <si>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</si>
  <si>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</si>
  <si>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</si>
  <si>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</si>
  <si>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</si>
  <si>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</si>
  <si>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</si>
  <si>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</si>
  <si>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</si>
  <si>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</si>
  <si>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</si>
  <si>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</si>
  <si>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</si>
  <si>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</si>
  <si>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</si>
  <si>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</si>
  <si>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</si>
  <si>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</si>
  <si>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</si>
  <si>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</si>
  <si>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</si>
  <si>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</si>
  <si>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</si>
  <si>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</si>
  <si>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</si>
  <si>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</si>
  <si>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</si>
  <si>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</si>
  <si>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</si>
  <si>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</si>
  <si>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</si>
  <si>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</si>
  <si>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</si>
  <si>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</si>
  <si>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</si>
  <si>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</si>
  <si>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</si>
  <si>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</si>
  <si>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</si>
  <si>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</si>
  <si>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</si>
  <si>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</si>
  <si>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</si>
  <si>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</si>
  <si>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</si>
  <si>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</si>
  <si>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</si>
  <si>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</si>
  <si>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</si>
  <si>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</si>
  <si>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</si>
  <si>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</si>
  <si>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</si>
  <si>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</si>
  <si>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</si>
  <si>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</si>
  <si>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</si>
  <si>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</si>
  <si>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</si>
  <si>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</si>
  <si>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</si>
  <si>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</si>
  <si>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</si>
  <si>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</si>
  <si>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</si>
  <si>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</si>
  <si>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</si>
  <si>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</si>
  <si>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</si>
  <si>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</si>
  <si>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</si>
  <si>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</si>
  <si>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</si>
  <si>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</si>
  <si>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</si>
  <si>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</si>
  <si>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</si>
  <si>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</si>
  <si>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</si>
  <si>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</si>
  <si>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</si>
  <si>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</si>
  <si>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</si>
  <si>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</si>
  <si>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</si>
  <si>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</si>
  <si>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</si>
  <si>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</si>
  <si>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</si>
  <si>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</si>
  <si>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</si>
  <si>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</si>
  <si>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</si>
  <si>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</si>
  <si>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</si>
  <si>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</si>
  <si>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</si>
  <si>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</si>
  <si>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</si>
  <si>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</si>
  <si>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</si>
  <si>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</si>
  <si>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</si>
  <si>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</si>
  <si>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</si>
  <si>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</si>
  <si>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</si>
  <si>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</si>
  <si>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</si>
  <si>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</si>
  <si>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</si>
  <si>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</si>
  <si>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</si>
  <si>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</si>
  <si>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</si>
  <si>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</si>
  <si>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</si>
  <si>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</si>
  <si>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</si>
  <si>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</si>
  <si>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</si>
  <si>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</si>
  <si>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</si>
  <si>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</si>
  <si>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</si>
  <si>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</si>
  <si>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</si>
  <si>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</si>
  <si>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</si>
  <si>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</si>
  <si>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</si>
  <si>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</si>
  <si>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</si>
  <si>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</si>
  <si>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</si>
  <si>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</si>
  <si>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</si>
  <si>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</si>
  <si>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</si>
  <si>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</si>
  <si>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</si>
  <si>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</si>
  <si>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</si>
  <si>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</si>
  <si>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</si>
  <si>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</si>
  <si>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</si>
  <si>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</si>
  <si>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</si>
  <si>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</si>
  <si>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</si>
  <si>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</si>
  <si>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</si>
  <si>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</si>
  <si>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</si>
  <si>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</si>
  <si>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</si>
  <si>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</si>
  <si>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</si>
  <si>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</si>
  <si>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</si>
  <si>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</si>
  <si>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</si>
  <si>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</si>
  <si>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</si>
  <si>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</si>
  <si>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</si>
  <si>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</si>
  <si>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</si>
  <si>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</si>
  <si>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</si>
  <si>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</si>
  <si>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</si>
  <si>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</si>
  <si>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</si>
  <si>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</si>
  <si>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</si>
  <si>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</si>
  <si>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</si>
  <si>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</si>
  <si>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</si>
  <si>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</si>
  <si>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</si>
  <si>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</si>
  <si>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</si>
  <si>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</si>
  <si>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</si>
  <si>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</si>
  <si>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</si>
  <si>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</si>
  <si>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</si>
  <si>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</si>
  <si>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</si>
  <si>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</si>
  <si>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</si>
  <si>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</si>
  <si>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</si>
  <si>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</si>
  <si>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</si>
  <si>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</si>
  <si>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</si>
  <si>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</si>
  <si>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</si>
  <si>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</si>
  <si>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</si>
  <si>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</si>
  <si>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</si>
  <si>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</si>
  <si>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</si>
  <si>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</si>
  <si>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</si>
  <si>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</si>
  <si>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</si>
  <si>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</si>
  <si>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</si>
  <si>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</si>
  <si>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</si>
  <si>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</si>
  <si>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</si>
  <si>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</si>
  <si>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</si>
  <si>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</si>
  <si>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</si>
  <si>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</si>
  <si>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</si>
  <si>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</si>
  <si>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</si>
  <si>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</si>
  <si>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</si>
  <si>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</si>
  <si>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</si>
  <si>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</si>
  <si>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</si>
  <si>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</si>
  <si>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</si>
  <si>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</si>
  <si>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</si>
  <si>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</si>
  <si>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</si>
  <si>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</si>
  <si>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</si>
  <si>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</si>
  <si>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</si>
  <si>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</si>
  <si>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</si>
  <si>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</si>
  <si>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</si>
  <si>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</si>
  <si>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</si>
  <si>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</si>
  <si>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</si>
  <si>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</si>
  <si>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</si>
  <si>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</si>
  <si>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</si>
  <si>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</si>
  <si>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</si>
  <si>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</si>
  <si>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</si>
  <si>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</si>
  <si>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</si>
  <si>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</si>
  <si>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</si>
  <si>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</si>
  <si>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</si>
  <si>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</si>
  <si>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</si>
  <si>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</si>
  <si>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</si>
  <si>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</si>
  <si>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</si>
  <si>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</si>
  <si>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</si>
  <si>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</si>
  <si>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</si>
  <si>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</si>
  <si>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</si>
  <si>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</si>
  <si>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</si>
  <si>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</si>
  <si>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</si>
  <si>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</si>
  <si>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</si>
  <si>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</si>
  <si>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</si>
  <si>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</si>
  <si>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</si>
  <si>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</si>
  <si>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</si>
  <si>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</si>
  <si>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</si>
  <si>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</si>
  <si>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</si>
  <si>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</si>
  <si>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</si>
  <si>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</si>
  <si>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</si>
  <si>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</si>
  <si>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</si>
  <si>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</si>
  <si>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</si>
  <si>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</si>
  <si>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</si>
  <si>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</si>
  <si>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</si>
  <si>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</si>
  <si>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</si>
  <si>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</si>
  <si>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</si>
  <si>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</si>
  <si>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</si>
  <si>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</si>
  <si>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</si>
  <si>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</si>
  <si>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</si>
  <si>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</si>
  <si>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</si>
  <si>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</si>
  <si>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</si>
  <si>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</si>
  <si>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</si>
  <si>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</si>
  <si>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</si>
  <si>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</si>
  <si>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</si>
  <si>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</si>
  <si>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</si>
  <si>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</si>
  <si>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</si>
  <si>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</si>
  <si>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</si>
  <si>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</si>
  <si>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</si>
  <si>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</si>
  <si>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</si>
  <si>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</si>
  <si>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</si>
  <si>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</si>
  <si>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</si>
  <si>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</si>
  <si>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</si>
  <si>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</si>
  <si>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</si>
  <si>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</si>
  <si>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</si>
  <si>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</si>
  <si>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</si>
  <si>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</si>
  <si>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</si>
  <si>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</si>
  <si>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</si>
  <si>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</si>
  <si>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</si>
  <si>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</si>
  <si>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</si>
  <si>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</si>
  <si>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</si>
  <si>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</si>
  <si>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</si>
  <si>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</si>
  <si>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</si>
  <si>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</si>
  <si>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</si>
  <si>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</si>
  <si>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</si>
  <si>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</si>
  <si>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</si>
  <si>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</si>
  <si>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</si>
  <si>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</si>
  <si>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</si>
  <si>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</si>
  <si>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</si>
  <si>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</si>
  <si>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</si>
  <si>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</si>
  <si>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</si>
  <si>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</si>
  <si>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</si>
  <si>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</si>
  <si>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</si>
  <si>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</si>
  <si>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</si>
  <si>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</si>
  <si>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</si>
  <si>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</si>
  <si>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</si>
  <si>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</si>
  <si>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</si>
  <si>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</si>
  <si>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</si>
  <si>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</si>
  <si>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</si>
  <si>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</si>
  <si>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</si>
  <si>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</si>
  <si>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</si>
  <si>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</si>
  <si>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</si>
  <si>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</si>
  <si>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</si>
  <si>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</si>
  <si>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</si>
  <si>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</si>
  <si>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</si>
  <si>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</si>
  <si>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</si>
  <si>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</si>
  <si>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</si>
  <si>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</si>
  <si>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</si>
  <si>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</si>
  <si>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</si>
  <si>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</si>
  <si>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</si>
  <si>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</si>
  <si>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</si>
  <si>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</si>
  <si>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</si>
  <si>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</si>
  <si>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</si>
  <si>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</si>
  <si>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</si>
  <si>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</si>
  <si>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</si>
  <si>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</si>
  <si>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</si>
  <si>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</si>
  <si>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</si>
  <si>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</si>
  <si>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</si>
  <si>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</si>
  <si>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</si>
  <si>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</si>
  <si>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</si>
  <si>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</si>
  <si>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</si>
  <si>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</si>
  <si>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</si>
  <si>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</si>
  <si>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</si>
  <si>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</si>
  <si>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</si>
  <si>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</si>
  <si>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</si>
  <si>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</si>
  <si>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</si>
  <si>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</si>
  <si>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</si>
  <si>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</si>
  <si>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</si>
  <si>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</si>
  <si>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</si>
  <si>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</si>
  <si>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</si>
  <si>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</si>
  <si>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</si>
  <si>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</si>
  <si>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</si>
  <si>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</si>
  <si>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</si>
  <si>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</si>
  <si>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</si>
  <si>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</si>
  <si>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</si>
  <si>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</si>
  <si>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</si>
  <si>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</si>
  <si>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</si>
  <si>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</si>
  <si>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</si>
  <si>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</si>
  <si>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</si>
  <si>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</si>
  <si>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</si>
  <si>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</si>
  <si>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</si>
  <si>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</si>
  <si>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</si>
  <si>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</si>
  <si>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</si>
  <si>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</si>
  <si>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</si>
  <si>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</si>
  <si>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</si>
  <si>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</si>
  <si>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</si>
  <si>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</si>
  <si>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</si>
  <si>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</si>
  <si>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</si>
  <si>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</si>
  <si>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</si>
  <si>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</si>
  <si>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</si>
  <si>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</si>
  <si>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</si>
  <si>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</si>
  <si>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</si>
  <si>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</si>
  <si>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</si>
  <si>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</si>
  <si>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</si>
  <si>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</si>
  <si>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</si>
  <si>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</si>
  <si>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</si>
  <si>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</si>
  <si>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</si>
  <si>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</si>
  <si>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</si>
  <si>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</si>
  <si>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</si>
  <si>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</si>
  <si>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</si>
  <si>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</si>
  <si>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</si>
  <si>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</si>
  <si>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</si>
  <si>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</si>
  <si>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</si>
  <si>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</si>
  <si>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</si>
  <si>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</si>
  <si>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</si>
  <si>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</si>
  <si>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</si>
  <si>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</si>
  <si>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</si>
  <si>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</si>
  <si>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</si>
  <si>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</si>
  <si>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</si>
  <si>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</si>
  <si>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</si>
  <si>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</si>
  <si>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</si>
  <si>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</si>
  <si>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</si>
  <si>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</si>
  <si>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</si>
  <si>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</si>
  <si>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</si>
  <si>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</si>
  <si>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</si>
  <si>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</si>
  <si>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</si>
  <si>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</si>
  <si>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</si>
  <si>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</si>
  <si>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</si>
  <si>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</si>
  <si>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</si>
  <si>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</si>
  <si>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</si>
  <si>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</si>
  <si>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</si>
  <si>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</si>
  <si>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</si>
  <si>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</si>
  <si>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</si>
  <si>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</si>
  <si>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</si>
  <si>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</si>
  <si>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</si>
  <si>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</si>
  <si>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</si>
  <si>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</si>
  <si>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</si>
  <si>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</si>
  <si>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</si>
  <si>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</si>
  <si>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</si>
  <si>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</si>
  <si>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</si>
  <si>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</si>
  <si>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</si>
  <si>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</si>
  <si>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</si>
  <si>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</si>
  <si>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</si>
  <si>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</si>
  <si>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</si>
  <si>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</si>
  <si>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</si>
  <si>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</si>
  <si>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</si>
  <si>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</si>
  <si>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</si>
  <si>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</si>
  <si>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</si>
  <si>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</si>
  <si>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</si>
  <si>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</si>
  <si>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</si>
  <si>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</si>
  <si>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</si>
  <si>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</si>
  <si>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</si>
  <si>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</si>
  <si>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</si>
  <si>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</si>
  <si>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</si>
  <si>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</si>
  <si>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</si>
  <si>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</si>
  <si>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</si>
  <si>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</si>
  <si>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</si>
  <si>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</si>
  <si>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</si>
  <si>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</si>
  <si>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</si>
  <si>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</si>
  <si>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</si>
  <si>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</si>
  <si>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</si>
  <si>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</si>
  <si>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</si>
  <si>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</si>
  <si>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</si>
  <si>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</si>
  <si>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</si>
  <si>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</si>
  <si>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</si>
  <si>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</si>
  <si>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</si>
  <si>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</si>
  <si>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</si>
  <si>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</si>
  <si>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</si>
  <si>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</si>
  <si>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</si>
  <si>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</si>
  <si>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</si>
  <si>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</si>
  <si>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</si>
  <si>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</si>
  <si>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</si>
  <si>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</si>
  <si>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</si>
  <si>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</si>
  <si>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</si>
  <si>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</si>
  <si>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</si>
  <si>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</si>
  <si>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</si>
  <si>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</si>
  <si>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</si>
  <si>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</si>
  <si>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</si>
  <si>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</si>
  <si>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</si>
  <si>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</si>
  <si>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</si>
  <si>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</si>
  <si>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</si>
  <si>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</si>
  <si>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</si>
  <si>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</si>
  <si>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</si>
  <si>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</si>
  <si>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</si>
  <si>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</si>
  <si>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</si>
  <si>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</si>
  <si>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</si>
  <si>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</si>
  <si>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</si>
  <si>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</si>
  <si>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</si>
  <si>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</si>
  <si>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</si>
  <si>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</si>
  <si>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</si>
  <si>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</si>
  <si>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</si>
  <si>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</si>
  <si>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</si>
  <si>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</si>
  <si>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</si>
  <si>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</si>
  <si>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</si>
  <si>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</si>
  <si>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</si>
  <si>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</si>
  <si>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</si>
  <si>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</si>
  <si>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</si>
  <si>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</si>
  <si>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</si>
  <si>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</si>
  <si>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</si>
  <si>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</si>
  <si>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</si>
  <si>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</si>
  <si>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</si>
  <si>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</si>
  <si>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</si>
  <si>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</si>
  <si>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</si>
  <si>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</si>
  <si>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</si>
  <si>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</si>
  <si>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</si>
  <si>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</si>
  <si>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</si>
  <si>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</si>
  <si>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</si>
  <si>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</si>
  <si>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</si>
  <si>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</si>
  <si>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</si>
  <si>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</si>
  <si>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</si>
  <si>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</si>
  <si>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</si>
  <si>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</si>
  <si>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</si>
  <si>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</si>
  <si>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</si>
  <si>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</si>
  <si>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</si>
  <si>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</si>
  <si>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</si>
  <si>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</si>
  <si>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</si>
  <si>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</si>
  <si>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</si>
  <si>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</si>
  <si>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</si>
  <si>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</si>
  <si>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</si>
  <si>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</si>
  <si>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</si>
  <si>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</si>
  <si>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</si>
  <si>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</si>
  <si>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</si>
  <si>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</si>
  <si>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</si>
  <si>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</si>
  <si>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</si>
  <si>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</si>
  <si>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</si>
  <si>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</si>
  <si>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</si>
  <si>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</si>
  <si>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</si>
  <si>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</si>
  <si>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</si>
  <si>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</si>
  <si>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</si>
  <si>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</si>
  <si>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</si>
  <si>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</si>
  <si>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</si>
  <si>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</si>
  <si>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</si>
  <si>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</si>
  <si>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</si>
  <si>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</si>
  <si>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</si>
  <si>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</si>
  <si>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</si>
  <si>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</si>
  <si>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</si>
  <si>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</si>
  <si>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</si>
  <si>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</si>
  <si>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</si>
  <si>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</si>
  <si>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</si>
  <si>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</si>
  <si>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</si>
  <si>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</si>
  <si>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</si>
  <si>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</si>
  <si>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</si>
  <si>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</si>
  <si>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</si>
  <si>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</si>
  <si>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</si>
  <si>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</si>
  <si>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</si>
  <si>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</si>
  <si>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</si>
  <si>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</si>
  <si>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</si>
  <si>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</si>
  <si>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</si>
  <si>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</si>
  <si>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</si>
  <si>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</si>
  <si>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</si>
  <si>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</si>
  <si>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</si>
  <si>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</si>
  <si>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</si>
  <si>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</si>
  <si>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</si>
  <si>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</si>
  <si>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</si>
  <si>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</si>
  <si>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</si>
  <si>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</si>
  <si>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</si>
  <si>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</si>
  <si>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</si>
  <si>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</si>
  <si>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</si>
  <si>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</si>
  <si>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</si>
  <si>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</si>
  <si>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</si>
  <si>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</si>
  <si>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</si>
  <si>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</si>
  <si>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</si>
  <si>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</si>
  <si>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</si>
  <si>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</si>
  <si>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</si>
  <si>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</si>
  <si>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</si>
  <si>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</si>
  <si>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</si>
  <si>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</si>
  <si>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</si>
  <si>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</si>
  <si>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</si>
  <si>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</si>
  <si>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</si>
  <si>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</si>
  <si>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</si>
  <si>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</si>
  <si>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</si>
  <si>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</si>
  <si>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</si>
  <si>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</si>
  <si>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</si>
  <si>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</si>
  <si>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</si>
  <si>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</si>
  <si>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</si>
  <si>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</si>
  <si>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</si>
  <si>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</si>
  <si>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</si>
  <si>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</si>
  <si>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</si>
  <si>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</si>
  <si>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</si>
  <si>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</si>
  <si>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</si>
  <si>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</si>
  <si>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</si>
  <si>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</si>
  <si>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</si>
  <si>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</si>
  <si>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</si>
  <si>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</si>
  <si>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</si>
  <si>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</si>
  <si>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</si>
  <si>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</si>
  <si>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</si>
  <si>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</si>
  <si>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</si>
  <si>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</si>
  <si>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</si>
  <si>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</si>
  <si>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</si>
  <si>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</si>
  <si>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</si>
  <si>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</si>
  <si>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</si>
  <si>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</si>
  <si>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</si>
  <si>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</si>
  <si>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</si>
  <si>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</si>
  <si>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</si>
  <si>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</si>
  <si>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</si>
  <si>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</si>
  <si>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</si>
  <si>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</si>
  <si>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</si>
  <si>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</si>
  <si>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</si>
  <si>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</si>
  <si>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</si>
  <si>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</si>
  <si>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</si>
  <si>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</si>
  <si>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</si>
  <si>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</si>
  <si>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</si>
  <si>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</si>
  <si>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</si>
  <si>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</si>
  <si>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</si>
  <si>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</si>
  <si>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</si>
  <si>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</si>
  <si>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</si>
  <si>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</si>
  <si>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</si>
  <si>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</si>
  <si>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</si>
  <si>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</si>
  <si>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</si>
  <si>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</si>
  <si>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</si>
  <si>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</si>
  <si>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</si>
  <si>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</si>
  <si>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</si>
  <si>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</si>
  <si>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</si>
  <si>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</si>
  <si>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</si>
  <si>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</si>
  <si>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</si>
  <si>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</si>
  <si>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</si>
  <si>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</si>
  <si>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</si>
  <si>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</si>
  <si>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</si>
  <si>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</si>
  <si>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</si>
  <si>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</si>
  <si>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</si>
  <si>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</si>
  <si>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</si>
  <si>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</si>
  <si>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</si>
  <si>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</si>
  <si>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</si>
  <si>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</si>
  <si>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</si>
  <si>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</si>
  <si>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</si>
  <si>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</si>
  <si>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</si>
  <si>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</si>
  <si>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</si>
  <si>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</si>
  <si>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</si>
  <si>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</si>
  <si>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</si>
  <si>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</si>
  <si>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</si>
  <si>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</si>
  <si>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</si>
  <si>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</si>
  <si>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</si>
  <si>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</si>
  <si>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</si>
  <si>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</si>
  <si>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</si>
  <si>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</si>
  <si>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</si>
  <si>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</si>
  <si>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</si>
  <si>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</si>
  <si>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</si>
  <si>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</si>
  <si>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</si>
  <si>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</si>
  <si>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</si>
  <si>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</si>
  <si>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</si>
  <si>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</si>
  <si>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</si>
  <si>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</si>
  <si>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</si>
  <si>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</si>
  <si>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</si>
  <si>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</si>
  <si>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</si>
  <si>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</si>
  <si>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</si>
  <si>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</si>
  <si>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</si>
  <si>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</si>
  <si>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</si>
  <si>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</si>
  <si>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</si>
  <si>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</si>
  <si>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</si>
  <si>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</si>
  <si>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</si>
  <si>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</si>
  <si>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</si>
  <si>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</si>
  <si>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</si>
  <si>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</si>
  <si>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</si>
  <si>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</si>
  <si>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</si>
  <si>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</si>
  <si>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</si>
  <si>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</si>
  <si>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</si>
  <si>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</si>
  <si>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</si>
  <si>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</si>
  <si>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</si>
  <si>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</si>
  <si>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</si>
  <si>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</si>
  <si>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</si>
  <si>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</si>
  <si>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</si>
  <si>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</si>
  <si>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</si>
  <si>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</si>
  <si>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</si>
  <si>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</si>
  <si>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</si>
  <si>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</si>
  <si>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</si>
  <si>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</si>
  <si>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</si>
  <si>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</si>
  <si>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</si>
  <si>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</si>
  <si>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</si>
  <si>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</si>
  <si>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</si>
  <si>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</si>
  <si>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</si>
  <si>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</si>
  <si>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</si>
  <si>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</si>
  <si>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</si>
  <si>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</si>
  <si>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</si>
  <si>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</si>
  <si>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</si>
  <si>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</si>
  <si>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</si>
  <si>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</si>
  <si>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</si>
  <si>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</si>
  <si>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</si>
  <si>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</si>
  <si>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</si>
  <si>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</si>
  <si>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</si>
  <si>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</si>
  <si>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</si>
  <si>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</si>
  <si>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</si>
  <si>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</si>
  <si>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</si>
  <si>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</si>
  <si>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</si>
  <si>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</si>
  <si>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</si>
  <si>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</si>
  <si>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</si>
  <si>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</si>
  <si>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</si>
  <si>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</si>
  <si>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</si>
  <si>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</si>
  <si>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</si>
  <si>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</si>
  <si>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</si>
  <si>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</si>
  <si>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</si>
  <si>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</si>
  <si>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</si>
  <si>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</si>
  <si>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</si>
  <si>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</si>
  <si>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</si>
  <si>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</si>
  <si>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</si>
  <si>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</si>
  <si>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</si>
  <si>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</si>
  <si>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</si>
  <si>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</si>
  <si>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</si>
  <si>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</si>
  <si>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</si>
  <si>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</si>
  <si>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</si>
  <si>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</si>
  <si>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</si>
  <si>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</si>
  <si>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</si>
  <si>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</si>
  <si>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</si>
  <si>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</si>
  <si>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</si>
  <si>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</si>
  <si>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</si>
  <si>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</si>
  <si>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</si>
  <si>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</si>
  <si>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</si>
  <si>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</si>
  <si>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</si>
  <si>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</si>
  <si>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</si>
  <si>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</si>
  <si>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</si>
  <si>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</si>
  <si>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</si>
  <si>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</si>
  <si>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</si>
  <si>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</si>
  <si>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</si>
  <si>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</si>
  <si>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</si>
  <si>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</si>
  <si>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</si>
  <si>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</si>
  <si>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</si>
  <si>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</si>
  <si>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</si>
  <si>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</si>
  <si>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</si>
  <si>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</si>
  <si>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</si>
  <si>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</si>
  <si>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</si>
  <si>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</si>
  <si>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</si>
  <si>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</si>
  <si>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</si>
  <si>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</si>
  <si>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</si>
  <si>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</si>
  <si>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</si>
  <si>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</si>
  <si>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</si>
  <si>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</si>
  <si>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</si>
  <si>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</si>
  <si>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</si>
  <si>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</si>
  <si>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</si>
  <si>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</si>
  <si>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</si>
  <si>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</si>
  <si>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</si>
  <si>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</si>
  <si>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</si>
  <si>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</si>
  <si>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</si>
  <si>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</si>
  <si>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</si>
  <si>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</si>
  <si>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</si>
  <si>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</si>
  <si>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</si>
  <si>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</si>
  <si>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</si>
  <si>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</si>
  <si>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</si>
  <si>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</si>
  <si>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</si>
  <si>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</si>
  <si>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</si>
  <si>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</si>
  <si>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</si>
  <si>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</si>
  <si>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</si>
  <si>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</si>
  <si>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</si>
  <si>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</si>
  <si>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</si>
  <si>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</si>
  <si>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</si>
  <si>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</si>
  <si>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</si>
  <si>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</si>
  <si>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</si>
  <si>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</si>
  <si>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</si>
  <si>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</si>
  <si>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</si>
  <si>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</si>
  <si>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</si>
  <si>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</si>
  <si>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</si>
  <si>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</si>
  <si>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</si>
  <si>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</si>
  <si>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</si>
  <si>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</si>
  <si>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</si>
  <si>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</si>
  <si>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</si>
  <si>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</si>
  <si>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</si>
  <si>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</si>
  <si>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</si>
  <si>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</si>
  <si>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</si>
  <si>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</si>
  <si>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phoneticPr fontId="143" type="noConversion"/>
  </si>
  <si>
    <t>柒拾亿玖仟零叁万元整</t>
  </si>
  <si>
    <r>
      <t>031</t>
    </r>
    <r>
      <rPr>
        <b/>
        <sz val="9"/>
        <color rgb="FF000000"/>
        <rFont val="华文细黑"/>
        <family val="3"/>
        <charset val="134"/>
      </rPr>
      <t>号地块</t>
    </r>
  </si>
  <si>
    <t>类别</t>
  </si>
  <si>
    <t>项目类型</t>
  </si>
  <si>
    <t>规划建筑面积</t>
  </si>
  <si>
    <t>经营性</t>
  </si>
  <si>
    <t>洋房住宅地下独立库房</t>
  </si>
  <si>
    <t>低密度住宅地下配套库房</t>
  </si>
  <si>
    <t>洋房住宅地下配套库房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</si>
  <si>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</si>
  <si>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</si>
  <si>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</si>
  <si>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</si>
  <si>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</si>
  <si>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</si>
  <si>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</si>
  <si>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t>洋房住宅地下库房</t>
  </si>
  <si>
    <t>低密度地下库房</t>
  </si>
  <si>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</si>
  <si>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</si>
  <si>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</si>
  <si>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</si>
  <si>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</si>
  <si>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总规划建筑面积</t>
  </si>
  <si>
    <t>地上规划建筑面积</t>
  </si>
  <si>
    <t>地下规划建筑面积</t>
  </si>
  <si>
    <t>配套用房及设备</t>
  </si>
  <si>
    <t>仓储用房</t>
  </si>
  <si>
    <t>地下车库用房</t>
  </si>
  <si>
    <t>地下商业</t>
  </si>
  <si>
    <t>配套用房及其他</t>
  </si>
  <si>
    <t>楼号</t>
  </si>
  <si>
    <t>工程进度</t>
  </si>
  <si>
    <t>主体结构已封顶</t>
  </si>
  <si>
    <t>小计　</t>
  </si>
  <si>
    <r>
      <t>主体结构已建至</t>
    </r>
    <r>
      <rPr>
        <sz val="9"/>
        <color rgb="FF000000"/>
        <rFont val="Arial"/>
        <family val="2"/>
      </rPr>
      <t>4</t>
    </r>
    <r>
      <rPr>
        <sz val="9"/>
        <color rgb="FF000000"/>
        <rFont val="华文细黑"/>
        <family val="3"/>
        <charset val="134"/>
      </rPr>
      <t>层</t>
    </r>
  </si>
  <si>
    <r>
      <t>主体结构已建至</t>
    </r>
    <r>
      <rPr>
        <sz val="9"/>
        <color rgb="FF000000"/>
        <rFont val="Arial"/>
        <family val="2"/>
      </rPr>
      <t>5</t>
    </r>
    <r>
      <rPr>
        <sz val="9"/>
        <color rgb="FF000000"/>
        <rFont val="华文细黑"/>
        <family val="3"/>
        <charset val="134"/>
      </rPr>
      <t>层</t>
    </r>
  </si>
  <si>
    <r>
      <t>主体结构已建至</t>
    </r>
    <r>
      <rPr>
        <sz val="9"/>
        <color rgb="FF000000"/>
        <rFont val="Arial"/>
        <family val="2"/>
      </rPr>
      <t>6</t>
    </r>
    <r>
      <rPr>
        <sz val="9"/>
        <color rgb="FF000000"/>
        <rFont val="华文细黑"/>
        <family val="3"/>
        <charset val="134"/>
      </rPr>
      <t>层</t>
    </r>
  </si>
  <si>
    <r>
      <t>主体结构已建至</t>
    </r>
    <r>
      <rPr>
        <sz val="9"/>
        <color rgb="FF000000"/>
        <rFont val="Arial"/>
        <family val="2"/>
      </rPr>
      <t>2</t>
    </r>
    <r>
      <rPr>
        <sz val="9"/>
        <color rgb="FF000000"/>
        <rFont val="华文细黑"/>
        <family val="3"/>
        <charset val="134"/>
      </rPr>
      <t>层</t>
    </r>
  </si>
  <si>
    <r>
      <t>主体结构至地下</t>
    </r>
    <r>
      <rPr>
        <sz val="9"/>
        <color rgb="FF000000"/>
        <rFont val="Arial"/>
        <family val="2"/>
      </rPr>
      <t>3</t>
    </r>
    <r>
      <rPr>
        <sz val="9"/>
        <color rgb="FF000000"/>
        <rFont val="华文细黑"/>
        <family val="3"/>
        <charset val="134"/>
      </rPr>
      <t>层</t>
    </r>
  </si>
  <si>
    <r>
      <t>P1</t>
    </r>
    <r>
      <rPr>
        <sz val="9"/>
        <color rgb="FF000000"/>
        <rFont val="华文细黑"/>
        <family val="3"/>
        <charset val="134"/>
      </rPr>
      <t>托老所</t>
    </r>
  </si>
  <si>
    <t>未建</t>
  </si>
  <si>
    <t>P-2#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</si>
</sst>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rgb="FF000000"/>
      <name val="Arial"/>
      <family val="2"/>
    </font>
    <font>
      <b/>
      <sz val="9"/>
      <color rgb="FF000000"/>
      <name val="华文细黑"/>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59" fillId="0" borderId="159" xfId="0" applyFont="1" applyBorder="1" applyAlignment="1">
      <alignment vertical="center" wrapText="1"/>
    </xf>
    <xf numFmtId="0" fontId="259" fillId="0" borderId="157" xfId="0" applyFont="1" applyBorder="1" applyAlignment="1">
      <alignment vertical="center" wrapText="1"/>
    </xf>
    <xf numFmtId="0" fontId="260" fillId="0" borderId="159" xfId="0" applyFont="1" applyBorder="1" applyAlignment="1">
      <alignment vertical="center" wrapText="1"/>
    </xf>
    <xf numFmtId="0" fontId="261" fillId="0" borderId="157" xfId="0" applyFont="1" applyBorder="1" applyAlignment="1">
      <alignment vertical="center" wrapText="1"/>
    </xf>
    <xf numFmtId="2" fontId="49" fillId="6" borderId="13" xfId="0" applyNumberFormat="1" applyFont="1" applyFill="1" applyBorder="1" applyAlignment="1" applyProtection="1">
      <alignment vertical="center"/>
    </xf>
    <xf numFmtId="0" fontId="262" fillId="0" borderId="171" xfId="0" applyFont="1" applyBorder="1">
      <alignment vertical="center"/>
    </xf>
    <xf numFmtId="0" fontId="264" fillId="0" borderId="171" xfId="0" applyFont="1" applyBorder="1">
      <alignment vertical="center"/>
    </xf>
    <xf numFmtId="0" fontId="265" fillId="0" borderId="171" xfId="0" applyFont="1" applyBorder="1">
      <alignment vertical="center"/>
    </xf>
    <xf numFmtId="0" fontId="266" fillId="0" borderId="171" xfId="0" applyFont="1" applyBorder="1">
      <alignment vertical="center"/>
    </xf>
    <xf numFmtId="0" fontId="263" fillId="0" borderId="171" xfId="0" applyFont="1" applyBorder="1">
      <alignment vertical="center"/>
    </xf>
    <xf numFmtId="0" fontId="265" fillId="0" borderId="171" xfId="0" applyFont="1" applyBorder="1" applyAlignment="1">
      <alignment vertical="center" wrapText="1"/>
    </xf>
    <xf numFmtId="0" fontId="265" fillId="0" borderId="169" xfId="0" applyFont="1" applyBorder="1">
      <alignment vertical="center"/>
    </xf>
    <xf numFmtId="0" fontId="266" fillId="0" borderId="169" xfId="0" applyFont="1" applyBorder="1">
      <alignment vertical="center"/>
    </xf>
    <xf numFmtId="0" fontId="265" fillId="0" borderId="1" xfId="0" applyNumberFormat="1" applyFont="1" applyBorder="1">
      <alignment vertical="center"/>
    </xf>
    <xf numFmtId="0" fontId="265" fillId="0" borderId="1" xfId="0" applyNumberFormat="1" applyFont="1" applyBorder="1" applyAlignment="1">
      <alignment vertical="center" wrapText="1"/>
    </xf>
    <xf numFmtId="0" fontId="266" fillId="0" borderId="1" xfId="0" applyNumberFormat="1" applyFont="1" applyBorder="1">
      <alignment vertical="center"/>
    </xf>
    <xf numFmtId="2" fontId="0" fillId="0" borderId="1" xfId="0" applyNumberFormat="1" applyBorder="1">
      <alignment vertical="center"/>
    </xf>
    <xf numFmtId="49" fontId="0" fillId="0" borderId="1" xfId="0" applyNumberFormat="1" applyBorder="1">
      <alignment vertical="center"/>
    </xf>
    <xf numFmtId="0" fontId="266" fillId="0" borderId="171" xfId="0" applyFont="1" applyBorder="1" applyAlignment="1">
      <alignment vertical="center" wrapText="1"/>
    </xf>
    <xf numFmtId="0" fontId="264" fillId="0" borderId="169" xfId="0" applyFont="1" applyBorder="1">
      <alignment vertical="center"/>
    </xf>
    <xf numFmtId="0" fontId="263" fillId="0" borderId="171" xfId="0" applyFont="1" applyBorder="1" applyAlignment="1">
      <alignment vertical="center" wrapText="1"/>
    </xf>
    <xf numFmtId="186" fontId="105" fillId="9" borderId="13"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9" fillId="7"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30" fillId="7" borderId="1" xfId="0" applyNumberFormat="1" applyFont="1" applyFill="1" applyBorder="1" applyAlignment="1">
      <alignment horizontal="center" vertical="center"/>
    </xf>
    <xf numFmtId="0" fontId="265" fillId="0" borderId="1" xfId="0" applyNumberFormat="1" applyFont="1"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49" fontId="255" fillId="18" borderId="1" xfId="2" applyNumberFormat="1" applyFont="1" applyFill="1" applyBorder="1" applyAlignment="1">
      <alignment horizontal="center" vertical="center" wrapText="1"/>
    </xf>
    <xf numFmtId="0" fontId="255" fillId="18" borderId="1" xfId="2"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5" fillId="0" borderId="167" xfId="0" applyFont="1" applyBorder="1" applyAlignment="1">
      <alignment vertical="center" wrapText="1"/>
    </xf>
    <xf numFmtId="0" fontId="265" fillId="0" borderId="169" xfId="0" applyFont="1" applyBorder="1" applyAlignment="1">
      <alignment vertical="center" wrapText="1"/>
    </xf>
    <xf numFmtId="0" fontId="264" fillId="0" borderId="173" xfId="0" applyFont="1" applyBorder="1">
      <alignment vertical="center"/>
    </xf>
    <xf numFmtId="0" fontId="264" fillId="0" borderId="172" xfId="0" applyFont="1" applyBorder="1">
      <alignment vertical="center"/>
    </xf>
    <xf numFmtId="0" fontId="264" fillId="0" borderId="170" xfId="0" applyFont="1" applyBorder="1">
      <alignment vertical="center"/>
    </xf>
    <xf numFmtId="0" fontId="265" fillId="0" borderId="167" xfId="0" applyFont="1" applyBorder="1">
      <alignment vertical="center"/>
    </xf>
    <xf numFmtId="0" fontId="265" fillId="0" borderId="169" xfId="0" applyFont="1" applyBorder="1">
      <alignment vertical="center"/>
    </xf>
    <xf numFmtId="0" fontId="265" fillId="0" borderId="173" xfId="0" applyFont="1" applyBorder="1">
      <alignment vertical="center"/>
    </xf>
    <xf numFmtId="0" fontId="265" fillId="0" borderId="172" xfId="0" applyFont="1" applyBorder="1">
      <alignment vertical="center"/>
    </xf>
    <xf numFmtId="0" fontId="265" fillId="0" borderId="170" xfId="0" applyFont="1" applyBorder="1">
      <alignment vertical="center"/>
    </xf>
    <xf numFmtId="0" fontId="263" fillId="0" borderId="167" xfId="0" applyFont="1" applyBorder="1">
      <alignment vertical="center"/>
    </xf>
    <xf numFmtId="0" fontId="263" fillId="0" borderId="168" xfId="0" applyFont="1" applyBorder="1">
      <alignment vertical="center"/>
    </xf>
    <xf numFmtId="0" fontId="263" fillId="0" borderId="169" xfId="0" applyFont="1" applyBorder="1">
      <alignment vertical="center"/>
    </xf>
    <xf numFmtId="0" fontId="265" fillId="0" borderId="168" xfId="0" applyFont="1" applyBorder="1">
      <alignment vertical="center"/>
    </xf>
    <xf numFmtId="0" fontId="266" fillId="0" borderId="173" xfId="0" applyFont="1" applyBorder="1">
      <alignment vertical="center"/>
    </xf>
    <xf numFmtId="0" fontId="266" fillId="0" borderId="170" xfId="0" applyFont="1" applyBorder="1">
      <alignment vertical="center"/>
    </xf>
    <xf numFmtId="0" fontId="263" fillId="0" borderId="173" xfId="0" applyFont="1" applyBorder="1">
      <alignment vertical="center"/>
    </xf>
    <xf numFmtId="0" fontId="263" fillId="0" borderId="170" xfId="0" applyFont="1" applyBorder="1">
      <alignment vertical="center"/>
    </xf>
    <xf numFmtId="0" fontId="259" fillId="0" borderId="160" xfId="0" applyFont="1" applyBorder="1" applyAlignment="1">
      <alignment vertical="center" wrapText="1"/>
    </xf>
    <xf numFmtId="0" fontId="259" fillId="0" borderId="158" xfId="0" applyFont="1" applyBorder="1" applyAlignment="1">
      <alignment vertical="center" wrapText="1"/>
    </xf>
    <xf numFmtId="0" fontId="264" fillId="0" borderId="167" xfId="0" applyFont="1" applyBorder="1">
      <alignment vertical="center"/>
    </xf>
    <xf numFmtId="0" fontId="264" fillId="0" borderId="169" xfId="0" applyFont="1" applyBorder="1">
      <alignment vertical="center"/>
    </xf>
    <xf numFmtId="0" fontId="262" fillId="0" borderId="173" xfId="0" applyFont="1" applyBorder="1">
      <alignment vertical="center"/>
    </xf>
    <xf numFmtId="0" fontId="262" fillId="0" borderId="172" xfId="0" applyFont="1" applyBorder="1">
      <alignment vertical="center"/>
    </xf>
    <xf numFmtId="0" fontId="262" fillId="0" borderId="170" xfId="0" applyFont="1" applyBorder="1">
      <alignment vertical="center"/>
    </xf>
    <xf numFmtId="0" fontId="259" fillId="0" borderId="156" xfId="0" applyFont="1" applyBorder="1" applyAlignment="1">
      <alignment vertical="center" wrapText="1"/>
    </xf>
    <xf numFmtId="0" fontId="259" fillId="0" borderId="157"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259" fillId="0" borderId="162" xfId="0" applyFont="1" applyBorder="1" applyAlignment="1">
      <alignment vertical="center" wrapText="1"/>
    </xf>
    <xf numFmtId="0" fontId="259" fillId="0" borderId="164"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0" fillId="0" borderId="163"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304514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1214</v>
      </c>
      <c r="B1" s="1579" t="s">
        <v>1293</v>
      </c>
    </row>
    <row r="2" spans="1:2" s="1584" customFormat="1" ht="16.2"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6.2" thickBot="1">
      <c r="A5" s="1588" t="s">
        <v>1218</v>
      </c>
      <c r="B5" s="1589" t="str">
        <f>'预评函-封皮'!B49</f>
        <v>康正预评字号</v>
      </c>
    </row>
    <row r="6" spans="1:2" s="1584" customFormat="1" ht="16.2"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6.2" thickBot="1">
      <c r="A18" s="1588" t="s">
        <v>1227</v>
      </c>
      <c r="B18" s="1589" t="str">
        <f>'预评函-1'!A24</f>
        <v>本次评估采用的主估价方法为成本法和假设开发法。</v>
      </c>
    </row>
    <row r="19" spans="1:2" s="1584" customFormat="1" ht="16.2"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392611</v>
      </c>
    </row>
    <row r="21" spans="1:2" s="1587" customFormat="1">
      <c r="A21" s="1585" t="s">
        <v>1230</v>
      </c>
      <c r="B21" s="1586">
        <f ca="1">'预评函-2'!D7</f>
        <v>26306</v>
      </c>
    </row>
    <row r="22" spans="1:2" s="1587" customFormat="1">
      <c r="A22" s="1585" t="s">
        <v>1231</v>
      </c>
      <c r="B22" s="1586" t="str">
        <f ca="1">'预评函-2'!D6</f>
        <v>叁拾玖亿贰仟陆佰壹拾壹万元整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392611</v>
      </c>
    </row>
    <row r="35" spans="1:2" s="1587" customFormat="1">
      <c r="A35" s="1585" t="s">
        <v>1270</v>
      </c>
      <c r="B35" s="1586">
        <f ca="1">'预评函-2'!D18</f>
        <v>26306</v>
      </c>
    </row>
    <row r="36" spans="1:2" s="1587" customFormat="1">
      <c r="A36" s="1585" t="s">
        <v>1237</v>
      </c>
      <c r="B36" s="1586" t="str">
        <f ca="1">'预评函-2'!D17</f>
        <v>叁拾玖亿贰仟陆佰壹拾壹万元整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ht="31.2">
      <c r="A42" s="1585" t="s">
        <v>1283</v>
      </c>
      <c r="B42" s="1586" t="str">
        <f>'预评函-3'!B2</f>
        <v>建筑面积</v>
      </c>
    </row>
    <row r="43" spans="1:2" s="1587" customFormat="1">
      <c r="A43" s="1585" t="s">
        <v>1284</v>
      </c>
      <c r="B43" s="1586">
        <f>'预评函-3'!B4</f>
        <v>149246.95000000001</v>
      </c>
    </row>
    <row r="44" spans="1:2" s="1587" customFormat="1" ht="31.2">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f ca="1">'预评函-3'!D4</f>
        <v>360417</v>
      </c>
    </row>
    <row r="48" spans="1:2" s="1587" customFormat="1">
      <c r="A48" s="1585" t="s">
        <v>1242</v>
      </c>
      <c r="B48" s="1586">
        <f ca="1">'预评函-3'!E4</f>
        <v>24149</v>
      </c>
    </row>
    <row r="49" spans="1:2" s="1587" customFormat="1">
      <c r="A49" s="1585" t="s">
        <v>1243</v>
      </c>
      <c r="B49" s="1586" t="str">
        <f ca="1">'预评函-3'!D5</f>
        <v>叁拾陆亿零肆佰壹拾柒万元整</v>
      </c>
    </row>
    <row r="50" spans="1:2" s="1587" customFormat="1">
      <c r="A50" s="1585" t="s">
        <v>1267</v>
      </c>
      <c r="B50" s="1586" t="str">
        <f>'预评函-3'!F2</f>
        <v>在建建筑物价值</v>
      </c>
    </row>
    <row r="51" spans="1:2" s="1587" customFormat="1">
      <c r="A51" s="1585" t="s">
        <v>1244</v>
      </c>
      <c r="B51" s="1586">
        <f ca="1">'预评函-3'!F4</f>
        <v>32194</v>
      </c>
    </row>
    <row r="52" spans="1:2" s="1587" customFormat="1">
      <c r="A52" s="1585" t="s">
        <v>1245</v>
      </c>
      <c r="B52" s="1586">
        <f ca="1">'预评函-3'!G4</f>
        <v>2157</v>
      </c>
    </row>
    <row r="53" spans="1:2" s="1587" customFormat="1">
      <c r="A53" s="1585" t="s">
        <v>1273</v>
      </c>
      <c r="B53" s="1586" t="str">
        <f ca="1">'预评函-3'!F5</f>
        <v>叁亿贰仟壹佰玖拾肆万元整</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6.2" thickBot="1">
      <c r="A57" s="1588" t="s">
        <v>1292</v>
      </c>
      <c r="B57" s="1589" t="str">
        <f>'预评函-3'!A6</f>
        <v>估价师知悉的法定优先受偿款</v>
      </c>
    </row>
    <row r="58" spans="1:2" s="1584" customFormat="1" ht="16.2"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6.2" thickBot="1">
      <c r="A69" s="1588" t="s">
        <v>1254</v>
      </c>
      <c r="B69" s="1590">
        <f>'预评函-4'!C31</f>
        <v>42551</v>
      </c>
    </row>
    <row r="70" spans="1:2" ht="16.2"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6.2" thickBot="1">
      <c r="A73" s="1588" t="s">
        <v>1258</v>
      </c>
      <c r="B73" s="1589">
        <f ca="1">'预评函-4'!B5</f>
        <v>1120100036</v>
      </c>
    </row>
    <row r="74" spans="1:2" ht="16.2"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4.4"/>
  <cols>
    <col min="1" max="1" width="13.44140625" style="2017" customWidth="1"/>
    <col min="2" max="2" width="23.21875" style="1968" customWidth="1"/>
    <col min="3" max="3" width="13" style="2012" customWidth="1"/>
    <col min="4" max="4" width="5.77734375" style="2009" customWidth="1"/>
    <col min="5" max="5" width="7.109375" style="2009" customWidth="1"/>
    <col min="6" max="6" width="10.6640625" style="2009" customWidth="1"/>
    <col min="7" max="7" width="7.44140625" style="2009" customWidth="1"/>
    <col min="8" max="8" width="9" style="2012" customWidth="1"/>
    <col min="9" max="9" width="11.6640625" style="2012" customWidth="1"/>
    <col min="10" max="10" width="9" style="2012" customWidth="1"/>
    <col min="11" max="19" width="9" style="2009" customWidth="1"/>
    <col min="20" max="23" width="9" style="2012" customWidth="1"/>
    <col min="24" max="24" width="21.109375" style="1968" customWidth="1"/>
    <col min="25" max="16384" width="9" style="1968"/>
  </cols>
  <sheetData>
    <row r="1" spans="1:23" s="2006" customFormat="1" ht="28.8">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4534</v>
      </c>
      <c r="C19" s="2008"/>
    </row>
    <row r="20" spans="1:3">
      <c r="A20" s="2007" t="s">
        <v>1763</v>
      </c>
      <c r="B20" s="2007" t="s">
        <v>4712</v>
      </c>
      <c r="C20" s="2008"/>
    </row>
    <row r="21" spans="1:3">
      <c r="A21" s="2007" t="s">
        <v>1764</v>
      </c>
      <c r="B21" s="2007" t="s">
        <v>4544</v>
      </c>
      <c r="C21" s="2008"/>
    </row>
    <row r="22" spans="1:3">
      <c r="A22" s="2007" t="s">
        <v>1765</v>
      </c>
      <c r="B22" s="2007" t="s">
        <v>4532</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4434</v>
      </c>
      <c r="B29" s="2007" t="s">
        <v>757</v>
      </c>
      <c r="C29" s="2008"/>
    </row>
    <row r="30" spans="1:3">
      <c r="A30" s="2007" t="s">
        <v>4435</v>
      </c>
      <c r="B30" s="2007" t="s">
        <v>757</v>
      </c>
      <c r="C30" s="2008"/>
    </row>
    <row r="31" spans="1:3">
      <c r="A31" s="2007" t="s">
        <v>4489</v>
      </c>
      <c r="B31" s="2007" t="s">
        <v>757</v>
      </c>
      <c r="C31" s="2008"/>
    </row>
    <row r="32" spans="1:3">
      <c r="A32" s="2007" t="s">
        <v>4491</v>
      </c>
      <c r="B32" s="2007" t="s">
        <v>757</v>
      </c>
      <c r="C32" s="2008"/>
    </row>
    <row r="33" spans="1:3">
      <c r="A33" s="2007" t="s">
        <v>4493</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69"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69"/>
      <c r="B54" s="2015" t="s">
        <v>860</v>
      </c>
      <c r="C54" s="2012" t="s">
        <v>1276</v>
      </c>
    </row>
    <row r="55" spans="1:4">
      <c r="A55" s="3169"/>
      <c r="B55" s="2015" t="s">
        <v>861</v>
      </c>
      <c r="C55" s="2012" t="s">
        <v>1277</v>
      </c>
    </row>
    <row r="56" spans="1:4">
      <c r="A56" s="3169"/>
      <c r="B56" s="2015" t="s">
        <v>862</v>
      </c>
      <c r="C56" s="2012" t="s">
        <v>1281</v>
      </c>
    </row>
    <row r="57" spans="1:4">
      <c r="A57" s="3169"/>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8671875" style="2025" customWidth="1"/>
    <col min="2" max="3" width="11.44140625" style="2025" customWidth="1"/>
    <col min="4" max="6" width="10" style="2025" customWidth="1"/>
    <col min="7" max="7" width="10.77734375" style="2025" customWidth="1"/>
    <col min="8" max="8" width="10" style="2025" customWidth="1"/>
    <col min="9" max="9" width="11.10937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78"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79"/>
      <c r="D1" s="3179"/>
      <c r="E1" s="3179"/>
      <c r="F1" s="3179"/>
      <c r="G1" s="3179"/>
      <c r="H1" s="3179"/>
      <c r="I1" s="3180"/>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4436</v>
      </c>
      <c r="C4" s="1034">
        <f ca="1">SUMIF(注册房地产估价师,B4,估价师及机构信息!B3:B24)</f>
        <v>1120070131</v>
      </c>
      <c r="D4" s="2032" t="s">
        <v>4437</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4708</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4438</v>
      </c>
      <c r="C7" s="2041"/>
      <c r="D7" s="2042"/>
      <c r="E7" s="2027"/>
      <c r="F7" s="2035"/>
      <c r="G7" s="2035"/>
      <c r="H7" s="2035"/>
      <c r="I7" s="2035"/>
      <c r="J7" s="2035"/>
      <c r="K7" s="2044"/>
      <c r="L7" s="2021"/>
      <c r="M7" s="2021"/>
      <c r="N7" s="2022"/>
      <c r="O7" s="2023"/>
      <c r="P7" s="2022"/>
      <c r="Q7" s="2022"/>
      <c r="R7" s="2022"/>
    </row>
    <row r="8" spans="1:19" ht="18" customHeight="1">
      <c r="A8" s="2040" t="s">
        <v>1778</v>
      </c>
      <c r="B8" s="2045" t="s">
        <v>4439</v>
      </c>
      <c r="C8" s="2046"/>
      <c r="D8" s="3181" t="s">
        <v>1779</v>
      </c>
      <c r="E8" s="2047" t="s">
        <v>4440</v>
      </c>
      <c r="F8" s="2048"/>
      <c r="G8" s="2019"/>
      <c r="H8" s="2019"/>
      <c r="I8" s="2019"/>
      <c r="J8" s="2035"/>
      <c r="K8" s="2036"/>
      <c r="L8" s="2021"/>
      <c r="M8" s="2021"/>
      <c r="N8" s="2022"/>
      <c r="O8" s="2023"/>
      <c r="P8" s="2022"/>
      <c r="Q8" s="2022"/>
      <c r="R8" s="2022"/>
    </row>
    <row r="9" spans="1:19" ht="18" customHeight="1" thickBot="1">
      <c r="A9" s="2033" t="s">
        <v>1780</v>
      </c>
      <c r="B9" s="2049" t="s">
        <v>4441</v>
      </c>
      <c r="C9" s="2050"/>
      <c r="D9" s="3182"/>
      <c r="E9" s="2049" t="s">
        <v>70</v>
      </c>
      <c r="F9" s="2051"/>
      <c r="G9" s="2052"/>
      <c r="H9" s="2052"/>
      <c r="I9" s="2052"/>
      <c r="J9" s="2035"/>
      <c r="K9" s="2044"/>
      <c r="L9" s="2021"/>
      <c r="M9" s="2021"/>
      <c r="N9" s="2022"/>
      <c r="O9" s="2023"/>
      <c r="P9" s="2022"/>
      <c r="Q9" s="2022"/>
      <c r="R9" s="2022"/>
    </row>
    <row r="10" spans="1:19" ht="18" customHeight="1" thickTop="1">
      <c r="A10" s="2053" t="s">
        <v>1781</v>
      </c>
      <c r="B10" s="2054" t="s">
        <v>4442</v>
      </c>
      <c r="C10" s="2055"/>
      <c r="D10" s="2039"/>
      <c r="E10" s="2056" t="s">
        <v>1782</v>
      </c>
      <c r="F10" s="3021" t="s">
        <v>4709</v>
      </c>
      <c r="G10" s="2057"/>
      <c r="H10" s="2058"/>
      <c r="I10" s="2039"/>
      <c r="J10" s="2035"/>
      <c r="K10" s="2044"/>
      <c r="L10" s="2021"/>
      <c r="M10" s="2021"/>
      <c r="N10" s="2022"/>
      <c r="O10" s="2023"/>
      <c r="P10" s="2022"/>
      <c r="Q10" s="2022"/>
      <c r="R10" s="2022"/>
    </row>
    <row r="11" spans="1:19" ht="18" customHeight="1">
      <c r="A11" s="2059" t="s">
        <v>1783</v>
      </c>
      <c r="B11" s="2060" t="s">
        <v>4462</v>
      </c>
      <c r="C11" s="3019" t="s">
        <v>4707</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4463</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88" t="s">
        <v>4710</v>
      </c>
      <c r="C16" s="3189"/>
      <c r="D16" s="3190"/>
      <c r="E16" s="3022" t="s">
        <v>4465</v>
      </c>
      <c r="F16" s="3191" t="s">
        <v>4776</v>
      </c>
      <c r="G16" s="3192"/>
      <c r="H16" s="3192"/>
      <c r="I16" s="3193"/>
      <c r="J16" s="2022"/>
      <c r="K16" s="2070"/>
      <c r="L16" s="2071"/>
      <c r="M16" s="2071"/>
      <c r="N16" s="2072"/>
      <c r="O16" s="2071"/>
      <c r="P16" s="2072"/>
      <c r="Q16" s="2022"/>
      <c r="R16" s="2022"/>
    </row>
    <row r="17" spans="1:22" ht="18" customHeight="1">
      <c r="A17" s="2073" t="s">
        <v>1796</v>
      </c>
      <c r="B17" s="3023" t="s">
        <v>4466</v>
      </c>
      <c r="C17" s="3024">
        <f>'数据-汇总表'!E3</f>
        <v>149246.95000000001</v>
      </c>
      <c r="D17" s="3025" t="s">
        <v>4467</v>
      </c>
      <c r="E17" s="3194" t="s">
        <v>4468</v>
      </c>
      <c r="F17" s="3195"/>
      <c r="G17" s="3195"/>
      <c r="H17" s="3195"/>
      <c r="I17" s="3196"/>
      <c r="J17" s="2022"/>
      <c r="K17" s="2074"/>
      <c r="L17" s="2071"/>
      <c r="M17" s="2071"/>
      <c r="N17" s="2072"/>
      <c r="O17" s="2071"/>
      <c r="P17" s="2072"/>
      <c r="Q17" s="2022"/>
      <c r="R17" s="2022"/>
      <c r="S17" s="2022"/>
      <c r="T17" s="2022"/>
      <c r="U17" s="2022"/>
      <c r="V17" s="2022"/>
    </row>
    <row r="18" spans="1:22" ht="36" customHeight="1" thickBot="1">
      <c r="A18" s="2075" t="s">
        <v>1797</v>
      </c>
      <c r="B18" s="3026" t="s">
        <v>4469</v>
      </c>
      <c r="C18" s="3027">
        <f>'数据-汇总表'!D3</f>
        <v>59319.7</v>
      </c>
      <c r="D18" s="3028" t="s">
        <v>4467</v>
      </c>
      <c r="E18" s="3197" t="s">
        <v>4464</v>
      </c>
      <c r="F18" s="3198"/>
      <c r="G18" s="3198"/>
      <c r="H18" s="3198"/>
      <c r="I18" s="3199"/>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4433</v>
      </c>
      <c r="D19" s="2077" t="s">
        <v>1800</v>
      </c>
      <c r="E19" s="2078" t="s">
        <v>4470</v>
      </c>
      <c r="F19" s="2079" t="str">
        <f>IF(AND(C19="是",E19="否"),"是否提供他项权证或相关说明","")</f>
        <v>是否提供他项权证或相关说明</v>
      </c>
      <c r="G19" s="2080" t="s">
        <v>4470</v>
      </c>
      <c r="H19" s="2035"/>
      <c r="I19" s="2035"/>
      <c r="J19" s="2035"/>
      <c r="K19" s="2044"/>
      <c r="L19" s="2021"/>
      <c r="M19" s="2021"/>
      <c r="N19" s="2072"/>
      <c r="O19" s="2071"/>
      <c r="P19" s="2072"/>
      <c r="Q19" s="2022"/>
      <c r="R19" s="2022"/>
      <c r="S19" s="2022"/>
      <c r="T19" s="2022"/>
      <c r="U19" s="2022"/>
      <c r="V19" s="2022"/>
    </row>
    <row r="20" spans="1:22" ht="18" customHeight="1">
      <c r="A20" s="2081" t="s">
        <v>1801</v>
      </c>
      <c r="B20" s="3184" t="s">
        <v>1802</v>
      </c>
      <c r="C20" s="3185"/>
      <c r="D20" s="3186" t="s">
        <v>1803</v>
      </c>
      <c r="E20" s="3187"/>
      <c r="F20" s="2082" t="s">
        <v>1804</v>
      </c>
      <c r="G20" s="2035"/>
      <c r="H20" s="2035"/>
      <c r="I20" s="2035"/>
      <c r="J20" s="2035"/>
      <c r="K20" s="3183"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8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8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71" t="s">
        <v>1816</v>
      </c>
      <c r="B27" s="2053" t="s">
        <v>1817</v>
      </c>
      <c r="C27" s="2104" t="s">
        <v>4471</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71"/>
      <c r="B28" s="2028" t="s">
        <v>1818</v>
      </c>
      <c r="C28" s="2106" t="s">
        <v>4472</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71"/>
      <c r="B29" s="2028" t="s">
        <v>1819</v>
      </c>
      <c r="C29" s="2109" t="s">
        <v>4473</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72"/>
      <c r="B30" s="2028" t="s">
        <v>1820</v>
      </c>
      <c r="C30" s="3173" t="s">
        <v>4482</v>
      </c>
      <c r="D30" s="3174"/>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75" t="s">
        <v>1821</v>
      </c>
      <c r="B31" s="2111" t="s">
        <v>4474</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76"/>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76"/>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4475</v>
      </c>
      <c r="C34" s="2118" t="s">
        <v>4476</v>
      </c>
      <c r="D34" s="2118" t="s">
        <v>4477</v>
      </c>
      <c r="E34" s="2118" t="s">
        <v>4478</v>
      </c>
      <c r="F34" s="2118" t="s">
        <v>4479</v>
      </c>
      <c r="G34" s="2118" t="s">
        <v>4480</v>
      </c>
      <c r="H34" s="2118" t="s">
        <v>4481</v>
      </c>
      <c r="I34" s="2035"/>
      <c r="J34" s="2035"/>
      <c r="K34" s="1789">
        <f>COUNTIF(B34:H34,"——")</f>
        <v>0</v>
      </c>
      <c r="L34" s="2063" t="s">
        <v>1823</v>
      </c>
      <c r="M34" s="2063" t="s">
        <v>1824</v>
      </c>
      <c r="N34" s="2063" t="s">
        <v>1825</v>
      </c>
      <c r="O34" s="2063" t="s">
        <v>1826</v>
      </c>
      <c r="P34" s="2063" t="s">
        <v>1827</v>
      </c>
      <c r="Q34" s="2063" t="s">
        <v>1828</v>
      </c>
      <c r="R34" s="2063" t="s">
        <v>1829</v>
      </c>
      <c r="S34" s="3170" t="s">
        <v>1830</v>
      </c>
      <c r="T34" s="2119" t="str">
        <f>NUMBERSTRING(7-K34,1)&amp;"通"</f>
        <v>七通</v>
      </c>
      <c r="U34" s="2022"/>
      <c r="V34" s="2022"/>
    </row>
    <row r="35" spans="1:22" ht="18" customHeight="1">
      <c r="A35" s="2120"/>
      <c r="B35" s="3177" t="s">
        <v>1831</v>
      </c>
      <c r="C35" s="3177"/>
      <c r="D35" s="3177"/>
      <c r="E35" s="3177"/>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70"/>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4483</v>
      </c>
      <c r="C38" s="2127" t="s">
        <v>4483</v>
      </c>
      <c r="D38" s="2127" t="s">
        <v>4483</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44" customWidth="1"/>
    <col min="2" max="2" width="11" style="2144" customWidth="1"/>
    <col min="3" max="3" width="10.33203125" style="2144" customWidth="1"/>
    <col min="4" max="4" width="9.109375" style="2144" customWidth="1"/>
    <col min="5" max="6" width="10" style="2207" customWidth="1"/>
    <col min="7" max="8" width="10" style="2144" customWidth="1"/>
    <col min="9" max="9" width="10.6640625" style="2144" customWidth="1"/>
    <col min="10" max="10" width="9.44140625" style="2144" customWidth="1"/>
    <col min="11" max="11" width="11" style="2144" customWidth="1"/>
    <col min="12" max="14" width="9.44140625" style="2144" customWidth="1"/>
    <col min="15" max="15" width="9.88671875" style="2144" customWidth="1"/>
    <col min="16" max="16" width="9.77734375" style="2144" customWidth="1"/>
    <col min="17" max="17" width="9.33203125" style="2144" customWidth="1"/>
    <col min="18" max="18" width="9.21875" style="2144" customWidth="1"/>
    <col min="19" max="19" width="10.88671875" style="2144" customWidth="1"/>
    <col min="20" max="21" width="10.77734375" style="2144" customWidth="1"/>
    <col min="22" max="22" width="10.88671875" style="2144" customWidth="1"/>
    <col min="23" max="25" width="10.77734375" style="2144" customWidth="1"/>
    <col min="26" max="27" width="10.77734375" style="2144" hidden="1" customWidth="1"/>
    <col min="28" max="28" width="10.88671875" style="2144" hidden="1" customWidth="1"/>
    <col min="29" max="29" width="11" style="2144" bestFit="1" customWidth="1"/>
    <col min="30" max="30" width="10" style="2144" bestFit="1" customWidth="1"/>
    <col min="31" max="31" width="9.77734375" style="2144" hidden="1" customWidth="1"/>
    <col min="32" max="33" width="9.44140625" style="2144" hidden="1" customWidth="1"/>
    <col min="34" max="34" width="9.44140625" style="2144" customWidth="1"/>
    <col min="35" max="35" width="9.44140625" style="2144" hidden="1" customWidth="1"/>
    <col min="36" max="36" width="9.44140625" style="2144" customWidth="1"/>
    <col min="37" max="37" width="9.44140625" style="2144" hidden="1" customWidth="1"/>
    <col min="38" max="38" width="9.44140625" style="2144" customWidth="1"/>
    <col min="39" max="39" width="9.44140625" style="2144" hidden="1" customWidth="1"/>
    <col min="40" max="40" width="9.44140625" style="2144" customWidth="1"/>
    <col min="41" max="45" width="9.44140625" style="2144" hidden="1" customWidth="1"/>
    <col min="46" max="46" width="9.44140625" style="2144" customWidth="1"/>
    <col min="47" max="47" width="18.109375" style="2144" customWidth="1"/>
    <col min="48" max="50" width="9.77734375" style="2144" customWidth="1"/>
    <col min="51" max="55" width="10.44140625" style="2144" bestFit="1" customWidth="1"/>
    <col min="56" max="56" width="9.44140625" style="2144" bestFit="1" customWidth="1"/>
    <col min="57" max="63" width="9.109375" style="2144" bestFit="1" customWidth="1"/>
    <col min="64" max="64" width="9.44140625" style="2144" bestFit="1" customWidth="1"/>
    <col min="65" max="65" width="9.109375" style="2144" bestFit="1" customWidth="1"/>
    <col min="66" max="66" width="9.44140625" style="2144" bestFit="1" customWidth="1"/>
    <col min="67" max="69" width="9.109375" style="2144" bestFit="1" customWidth="1"/>
    <col min="70" max="70" width="9.44140625" style="2144" bestFit="1" customWidth="1"/>
    <col min="71" max="71" width="9" style="2144" customWidth="1"/>
    <col min="72" max="72" width="9.109375" style="2144" bestFit="1" customWidth="1"/>
    <col min="73" max="16384" width="8.88671875" style="2144"/>
  </cols>
  <sheetData>
    <row r="1" spans="1:72" ht="21">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3.2">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3.2">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3.2">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5.2">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3.2">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3.2">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3190</v>
      </c>
      <c r="T10" s="979"/>
      <c r="U10" s="2182" t="s">
        <v>4487</v>
      </c>
      <c r="V10" s="979"/>
      <c r="W10" s="2182" t="s">
        <v>4487</v>
      </c>
      <c r="X10" s="979"/>
      <c r="Y10" s="2182" t="s">
        <v>4487</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3.2">
      <c r="A11" s="2167"/>
      <c r="B11" s="2167"/>
      <c r="C11" s="2167"/>
      <c r="D11" s="2167"/>
      <c r="E11" s="2167"/>
      <c r="F11" s="2167"/>
      <c r="G11" s="1288"/>
      <c r="H11" s="2184"/>
      <c r="I11" s="2187" t="s">
        <v>4484</v>
      </c>
      <c r="J11" s="2188"/>
      <c r="K11" s="2187" t="s">
        <v>4485</v>
      </c>
      <c r="L11" s="2188"/>
      <c r="M11" s="2187" t="s">
        <v>3211</v>
      </c>
      <c r="N11" s="2188"/>
      <c r="O11" s="2187" t="s">
        <v>4486</v>
      </c>
      <c r="P11" s="2188"/>
      <c r="Q11" s="2187" t="s">
        <v>4486</v>
      </c>
      <c r="R11" s="2188"/>
      <c r="S11" s="2187" t="s">
        <v>3190</v>
      </c>
      <c r="T11" s="2188"/>
      <c r="U11" s="2187" t="s">
        <v>4488</v>
      </c>
      <c r="V11" s="2188"/>
      <c r="W11" s="2187" t="s">
        <v>4490</v>
      </c>
      <c r="X11" s="2188"/>
      <c r="Y11" s="2187" t="s">
        <v>4492</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3.2">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3.2">
      <c r="A13" s="1268"/>
      <c r="B13" s="1268"/>
      <c r="C13" s="1268"/>
      <c r="D13" s="2198" t="s">
        <v>4433</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3.2">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3.2">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3.2">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3.2">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46.8">
      <c r="A3" s="3200"/>
      <c r="B3" s="3200"/>
      <c r="C3" s="3200"/>
      <c r="D3" s="3201"/>
      <c r="E3" s="320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97" workbookViewId="0">
      <selection activeCell="F119" sqref="F119"/>
    </sheetView>
  </sheetViews>
  <sheetFormatPr defaultColWidth="9" defaultRowHeight="14.4"/>
  <cols>
    <col min="1" max="1" width="9" style="2962"/>
    <col min="2" max="2" width="9" style="2962" customWidth="1"/>
    <col min="3" max="3" width="9.88671875" style="2962" customWidth="1"/>
    <col min="4" max="4" width="9.77734375" style="2962" customWidth="1"/>
    <col min="5" max="5" width="7.77734375" style="2962" customWidth="1"/>
    <col min="6" max="9" width="9" style="2962" customWidth="1"/>
    <col min="10" max="10" width="9" style="2962" hidden="1" customWidth="1"/>
    <col min="11" max="12" width="9" style="2962" customWidth="1"/>
    <col min="13" max="13" width="11.109375" style="2962" customWidth="1"/>
    <col min="14" max="14" width="9.109375" style="2962" customWidth="1"/>
    <col min="15" max="15" width="9" style="2963" customWidth="1"/>
    <col min="16" max="16" width="10.4414062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4514</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4514</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4514</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4514</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4514</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4514</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4514</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4514</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4514</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4514</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4514</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4514</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4514</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4514</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4514</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4514</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4514</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4514</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4514</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4514</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4514</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4514</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4514</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4514</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4514</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4514</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4514</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4514</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4514</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4514</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4514</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4514</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4514</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4514</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4514</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4514</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4514</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4514</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4514</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4514</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4514</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4514</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4514</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4514</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4514</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4514</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4514</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4514</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4514</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4514</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4514</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4514</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4514</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4514</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4514</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4514</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4514</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4514</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4514</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4514</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4514</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4514</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4514</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4514</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4514</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4514</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4514</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4514</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4514</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4514</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4514</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4514</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4514</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4514</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4514</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4514</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4514</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4514</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4514</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4514</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4514</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4514</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4514</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4796</v>
      </c>
      <c r="B87" s="2960" t="s">
        <v>3185</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3186</v>
      </c>
      <c r="M88" s="2973">
        <f>T87+V100</f>
        <v>39574.06</v>
      </c>
      <c r="N88" s="2973" t="s">
        <v>3089</v>
      </c>
      <c r="O88" s="3052">
        <v>0.6</v>
      </c>
    </row>
    <row r="89" spans="1:21">
      <c r="A89" s="2976" t="s">
        <v>3199</v>
      </c>
      <c r="B89" s="2976" t="s">
        <v>3093</v>
      </c>
      <c r="C89" s="2961"/>
      <c r="D89" s="2961"/>
      <c r="E89" s="2961"/>
      <c r="F89" s="2961"/>
      <c r="G89" s="2961"/>
      <c r="H89" s="2961"/>
      <c r="I89" s="2961"/>
      <c r="J89" s="2961"/>
      <c r="K89" s="2961"/>
      <c r="L89" s="2973"/>
      <c r="M89" s="2973">
        <f>洋房测绘!N85</f>
        <v>9685.0600000000013</v>
      </c>
      <c r="N89" s="3053" t="s">
        <v>4515</v>
      </c>
      <c r="O89" s="2974">
        <f>ROUND(20%+40%*Q89/P89,2)</f>
        <v>0.4</v>
      </c>
      <c r="P89" s="2962">
        <f>M109</f>
        <v>8</v>
      </c>
      <c r="Q89" s="2962">
        <v>4</v>
      </c>
    </row>
    <row r="90" spans="1:21">
      <c r="A90" s="3012" t="s">
        <v>3200</v>
      </c>
      <c r="B90" s="2976" t="s">
        <v>3093</v>
      </c>
      <c r="C90" s="2961"/>
      <c r="D90" s="2961"/>
      <c r="E90" s="2961"/>
      <c r="F90" s="2961"/>
      <c r="G90" s="2961"/>
      <c r="H90" s="2961"/>
      <c r="I90" s="2961"/>
      <c r="J90" s="2961"/>
      <c r="K90" s="2961"/>
      <c r="L90" s="2973"/>
      <c r="M90" s="2973">
        <f>规证!C110</f>
        <v>8835.02</v>
      </c>
      <c r="N90" s="3053" t="s">
        <v>4517</v>
      </c>
      <c r="O90" s="2974">
        <f>ROUND(20%+40%*Q90/P90,2)</f>
        <v>0.4</v>
      </c>
      <c r="P90" s="2962">
        <f t="shared" ref="P90:P96" si="4">M110</f>
        <v>8</v>
      </c>
      <c r="Q90" s="2962">
        <v>4</v>
      </c>
    </row>
    <row r="91" spans="1:21">
      <c r="A91" s="2976" t="s">
        <v>3201</v>
      </c>
      <c r="B91" s="2976" t="s">
        <v>3093</v>
      </c>
      <c r="C91" s="2961"/>
      <c r="D91" s="2961"/>
      <c r="E91" s="2961"/>
      <c r="F91" s="2961"/>
      <c r="G91" s="2961"/>
      <c r="H91" s="2961"/>
      <c r="I91" s="2961"/>
      <c r="J91" s="2961"/>
      <c r="K91" s="2961"/>
      <c r="L91" s="2973"/>
      <c r="M91" s="2973">
        <f>洋房测绘!N93</f>
        <v>8755.9699999999993</v>
      </c>
      <c r="N91" s="3053" t="s">
        <v>4516</v>
      </c>
      <c r="O91" s="2974">
        <f t="shared" ref="O91:O96" si="5">ROUND(20%+40%*Q91/P91,2)</f>
        <v>0.45</v>
      </c>
      <c r="P91" s="2962">
        <f t="shared" si="4"/>
        <v>8</v>
      </c>
      <c r="Q91" s="2962">
        <v>5</v>
      </c>
    </row>
    <row r="92" spans="1:21">
      <c r="A92" s="2976" t="s">
        <v>3202</v>
      </c>
      <c r="B92" s="2976" t="s">
        <v>3093</v>
      </c>
      <c r="C92" s="2961"/>
      <c r="D92" s="2961"/>
      <c r="E92" s="2961"/>
      <c r="F92" s="2961"/>
      <c r="G92" s="2961"/>
      <c r="H92" s="2961"/>
      <c r="I92" s="2961"/>
      <c r="J92" s="2961"/>
      <c r="K92" s="2961"/>
      <c r="L92" s="2973"/>
      <c r="M92" s="2973">
        <f>洋房测绘!N97</f>
        <v>7769.9500000000007</v>
      </c>
      <c r="N92" s="3053" t="s">
        <v>4518</v>
      </c>
      <c r="O92" s="2974">
        <f t="shared" si="5"/>
        <v>0.5</v>
      </c>
      <c r="P92" s="2962">
        <f t="shared" si="4"/>
        <v>8</v>
      </c>
      <c r="Q92" s="2962">
        <v>6</v>
      </c>
    </row>
    <row r="93" spans="1:21">
      <c r="A93" s="2976" t="s">
        <v>3203</v>
      </c>
      <c r="B93" s="2976" t="s">
        <v>3093</v>
      </c>
      <c r="C93" s="2961"/>
      <c r="D93" s="2961"/>
      <c r="E93" s="2961"/>
      <c r="F93" s="2961"/>
      <c r="G93" s="2961"/>
      <c r="H93" s="2961"/>
      <c r="I93" s="2961"/>
      <c r="J93" s="2961"/>
      <c r="K93" s="2961"/>
      <c r="L93" s="2973"/>
      <c r="M93" s="2973">
        <f>洋房测绘!N101</f>
        <v>6077.8399999999992</v>
      </c>
      <c r="N93" s="3053" t="s">
        <v>4516</v>
      </c>
      <c r="O93" s="2974">
        <f t="shared" si="5"/>
        <v>0.45</v>
      </c>
      <c r="P93" s="2962">
        <f t="shared" si="4"/>
        <v>8</v>
      </c>
      <c r="Q93" s="2962">
        <v>5</v>
      </c>
    </row>
    <row r="94" spans="1:21">
      <c r="A94" s="2976" t="s">
        <v>3204</v>
      </c>
      <c r="B94" s="2976" t="s">
        <v>3093</v>
      </c>
      <c r="C94" s="2961"/>
      <c r="D94" s="2961"/>
      <c r="E94" s="2961"/>
      <c r="F94" s="2961"/>
      <c r="G94" s="2961"/>
      <c r="H94" s="2961"/>
      <c r="I94" s="2961"/>
      <c r="J94" s="2961"/>
      <c r="K94" s="2961"/>
      <c r="L94" s="2973"/>
      <c r="M94" s="2973">
        <f>洋房测绘!N107</f>
        <v>5381.22</v>
      </c>
      <c r="N94" s="3053" t="s">
        <v>4516</v>
      </c>
      <c r="O94" s="2974">
        <f t="shared" si="5"/>
        <v>0.49</v>
      </c>
      <c r="P94" s="2962">
        <f t="shared" si="4"/>
        <v>7</v>
      </c>
      <c r="Q94" s="2962">
        <v>5</v>
      </c>
    </row>
    <row r="95" spans="1:21">
      <c r="A95" s="2976" t="s">
        <v>3205</v>
      </c>
      <c r="B95" s="2976" t="s">
        <v>3093</v>
      </c>
      <c r="C95" s="2961"/>
      <c r="D95" s="2961"/>
      <c r="E95" s="2961"/>
      <c r="F95" s="2961"/>
      <c r="G95" s="2961"/>
      <c r="H95" s="2961"/>
      <c r="I95" s="2961"/>
      <c r="J95" s="2961"/>
      <c r="K95" s="2961"/>
      <c r="L95" s="2973"/>
      <c r="M95" s="2973">
        <f>洋房测绘!N113</f>
        <v>5381.2100000000009</v>
      </c>
      <c r="N95" s="3053" t="s">
        <v>4519</v>
      </c>
      <c r="O95" s="2974">
        <f t="shared" si="5"/>
        <v>0.31</v>
      </c>
      <c r="P95" s="2962">
        <f t="shared" si="4"/>
        <v>7</v>
      </c>
      <c r="Q95" s="2962">
        <v>2</v>
      </c>
    </row>
    <row r="96" spans="1:21">
      <c r="A96" s="2976" t="s">
        <v>3206</v>
      </c>
      <c r="B96" s="2976" t="s">
        <v>3093</v>
      </c>
      <c r="C96" s="2961"/>
      <c r="D96" s="2961"/>
      <c r="E96" s="2961"/>
      <c r="F96" s="2961"/>
      <c r="G96" s="2961"/>
      <c r="H96" s="2961"/>
      <c r="I96" s="2961"/>
      <c r="J96" s="2961"/>
      <c r="K96" s="2961"/>
      <c r="L96" s="2973"/>
      <c r="M96" s="2973">
        <f>洋房测绘!N119</f>
        <v>5381.1000000000013</v>
      </c>
      <c r="N96" s="3053" t="s">
        <v>4520</v>
      </c>
      <c r="O96" s="2974">
        <f t="shared" si="5"/>
        <v>0.31</v>
      </c>
      <c r="P96" s="2962">
        <f t="shared" si="4"/>
        <v>7</v>
      </c>
      <c r="Q96" s="2962">
        <v>2</v>
      </c>
    </row>
    <row r="97" spans="1:22">
      <c r="A97" s="2976" t="s">
        <v>3207</v>
      </c>
      <c r="B97" s="2976" t="s">
        <v>3208</v>
      </c>
      <c r="C97" s="2961"/>
      <c r="D97" s="2961"/>
      <c r="E97" s="2961"/>
      <c r="F97" s="2961"/>
      <c r="G97" s="2961"/>
      <c r="H97" s="2961"/>
      <c r="I97" s="2961"/>
      <c r="J97" s="2961"/>
      <c r="K97" s="2961"/>
      <c r="L97" s="2973"/>
      <c r="M97" s="2973">
        <f>C117</f>
        <v>1000</v>
      </c>
      <c r="N97" s="3053" t="s">
        <v>4521</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3187</v>
      </c>
      <c r="V99" s="2973" t="s">
        <v>3188</v>
      </c>
    </row>
    <row r="100" spans="1:22">
      <c r="N100" s="2962">
        <v>0.64323254210551095</v>
      </c>
      <c r="R100" s="2962">
        <v>167776.05</v>
      </c>
      <c r="U100" s="2962">
        <v>39574.06</v>
      </c>
      <c r="V100" s="2971">
        <f>U100-R86</f>
        <v>1345.6599999999962</v>
      </c>
    </row>
    <row r="101" spans="1:22">
      <c r="B101" s="3202" t="s">
        <v>37</v>
      </c>
      <c r="C101" s="3202" t="s">
        <v>3078</v>
      </c>
      <c r="D101" s="3202"/>
      <c r="E101" s="3202"/>
      <c r="F101" s="3202"/>
      <c r="G101" s="3202" t="s">
        <v>3079</v>
      </c>
      <c r="H101" s="3202"/>
      <c r="I101" s="3202"/>
      <c r="J101" s="3202"/>
      <c r="K101" s="3202"/>
      <c r="L101" s="2977"/>
      <c r="P101" s="2978">
        <f>R87+V100+B104</f>
        <v>228837.91</v>
      </c>
    </row>
    <row r="102" spans="1:22">
      <c r="B102" s="3203"/>
      <c r="C102" s="2964" t="s">
        <v>3080</v>
      </c>
      <c r="D102" s="2964" t="s">
        <v>3083</v>
      </c>
      <c r="E102" s="2964" t="s">
        <v>3189</v>
      </c>
      <c r="F102" s="2964" t="s">
        <v>1372</v>
      </c>
      <c r="G102" s="2964" t="s">
        <v>3082</v>
      </c>
      <c r="H102" s="2964" t="s">
        <v>3190</v>
      </c>
      <c r="I102" s="2964" t="s">
        <v>3083</v>
      </c>
      <c r="J102" s="2979" t="s">
        <v>3189</v>
      </c>
      <c r="K102" s="2979" t="s">
        <v>1372</v>
      </c>
      <c r="L102" s="2980"/>
      <c r="N102" s="2973" t="s">
        <v>3191</v>
      </c>
      <c r="S102" s="2960" t="s">
        <v>3192</v>
      </c>
      <c r="T102" s="2960" t="s">
        <v>3194</v>
      </c>
      <c r="U102" s="2960" t="s">
        <v>3195</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3196</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3197</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3189</v>
      </c>
      <c r="G108" s="2964" t="s">
        <v>1372</v>
      </c>
      <c r="H108" s="2964" t="s">
        <v>3082</v>
      </c>
      <c r="I108" s="2964" t="s">
        <v>3083</v>
      </c>
      <c r="J108" s="2964" t="s">
        <v>3189</v>
      </c>
      <c r="K108" s="2964" t="s">
        <v>1372</v>
      </c>
      <c r="L108" s="2964"/>
      <c r="M108" s="2964" t="s">
        <v>3084</v>
      </c>
      <c r="N108" s="2964" t="s">
        <v>3085</v>
      </c>
      <c r="O108" s="2985" t="s">
        <v>3086</v>
      </c>
      <c r="P108" s="2964" t="s">
        <v>3087</v>
      </c>
      <c r="Q108" s="2964" t="s">
        <v>3198</v>
      </c>
    </row>
    <row r="109" spans="1:22">
      <c r="A109" s="2964" t="s">
        <v>3199</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3200</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3201</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3202</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3203</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3204</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3205</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3206</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3207</v>
      </c>
      <c r="B117" s="2964" t="s">
        <v>3208</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SUM(C109:C117)</f>
        <v>58492.749999999993</v>
      </c>
      <c r="D118" s="2965">
        <f t="shared" ref="D118:K118" si="8">SUM(D109:D117)</f>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3209</v>
      </c>
      <c r="C120" s="2962">
        <v>64089.62</v>
      </c>
    </row>
    <row r="121" spans="1:20">
      <c r="B121" s="2987" t="s">
        <v>3210</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3211</v>
      </c>
      <c r="E123" s="2964" t="s">
        <v>3083</v>
      </c>
      <c r="F123" s="2964" t="s">
        <v>3082</v>
      </c>
      <c r="G123" s="2964" t="s">
        <v>3212</v>
      </c>
      <c r="H123" s="2964" t="s">
        <v>3083</v>
      </c>
      <c r="I123" s="2964" t="s">
        <v>3190</v>
      </c>
      <c r="M123" s="2973" t="s">
        <v>3191</v>
      </c>
      <c r="O123" s="2962"/>
    </row>
    <row r="124" spans="1:20">
      <c r="B124" s="2961">
        <v>168826</v>
      </c>
      <c r="C124" s="2964">
        <v>40845.619999999995</v>
      </c>
      <c r="D124" s="2965">
        <v>23770.38</v>
      </c>
      <c r="E124" s="2965">
        <v>78</v>
      </c>
      <c r="F124" s="2965">
        <v>64403</v>
      </c>
      <c r="G124" s="2965">
        <v>990</v>
      </c>
      <c r="H124" s="2965">
        <v>11690</v>
      </c>
      <c r="I124" s="2965">
        <v>27049</v>
      </c>
      <c r="K124" s="2973" t="s">
        <v>3213</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ColWidth="9" defaultRowHeight="12"/>
  <cols>
    <col min="1" max="2" width="8.6640625" style="3033" customWidth="1"/>
    <col min="3" max="3" width="8.6640625" style="3041" customWidth="1"/>
    <col min="4" max="13" width="8.6640625" style="3033" customWidth="1"/>
    <col min="14" max="16384" width="9" style="3033"/>
  </cols>
  <sheetData>
    <row r="1" spans="1:13" s="3031" customFormat="1" ht="17.399999999999999">
      <c r="A1" s="2937"/>
      <c r="B1" s="2937" t="s">
        <v>4494</v>
      </c>
      <c r="C1" s="3038" t="s">
        <v>4495</v>
      </c>
      <c r="D1" s="2937" t="s">
        <v>4496</v>
      </c>
      <c r="E1" s="2937" t="s">
        <v>4497</v>
      </c>
      <c r="F1" s="2937" t="s">
        <v>4498</v>
      </c>
      <c r="G1" s="2937" t="s">
        <v>4499</v>
      </c>
      <c r="H1" s="2937"/>
      <c r="I1" s="2937"/>
      <c r="J1" s="2937" t="s">
        <v>4500</v>
      </c>
      <c r="K1" s="2937" t="s">
        <v>4501</v>
      </c>
      <c r="L1" s="2937" t="s">
        <v>4499</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4502</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2" workbookViewId="0">
      <selection activeCell="F1202" sqref="F1202"/>
    </sheetView>
  </sheetViews>
  <sheetFormatPr defaultColWidth="8.77734375" defaultRowHeight="12"/>
  <cols>
    <col min="1" max="1" width="8.33203125" style="3004" customWidth="1"/>
    <col min="2" max="2" width="16.44140625" style="3005" bestFit="1" customWidth="1"/>
    <col min="3" max="3" width="12.21875" style="3005" customWidth="1"/>
    <col min="4" max="4" width="8.77734375" style="3001"/>
    <col min="5" max="5" width="11.21875" style="3001" bestFit="1" customWidth="1"/>
    <col min="6" max="6" width="10.21875" style="3001" bestFit="1" customWidth="1"/>
    <col min="7" max="16384" width="8.77734375" style="3001"/>
  </cols>
  <sheetData>
    <row r="1" spans="1:6" s="2990" customFormat="1">
      <c r="A1" s="2988" t="s">
        <v>3214</v>
      </c>
      <c r="B1" s="2988" t="s">
        <v>3215</v>
      </c>
      <c r="C1" s="2989" t="s">
        <v>3216</v>
      </c>
      <c r="D1" s="2990" t="s">
        <v>3217</v>
      </c>
    </row>
    <row r="2" spans="1:6" s="2993" customFormat="1">
      <c r="A2" s="3204">
        <v>1</v>
      </c>
      <c r="B2" s="2991" t="s">
        <v>3218</v>
      </c>
      <c r="C2" s="2992">
        <v>134.63999999999999</v>
      </c>
      <c r="D2" s="2993" t="s">
        <v>3219</v>
      </c>
      <c r="E2" s="2995">
        <v>8413828</v>
      </c>
    </row>
    <row r="3" spans="1:6" s="2993" customFormat="1">
      <c r="A3" s="3204"/>
      <c r="B3" s="2991" t="s">
        <v>3220</v>
      </c>
      <c r="C3" s="2992">
        <v>84.58</v>
      </c>
      <c r="D3" s="2993" t="s">
        <v>4487</v>
      </c>
      <c r="E3" s="2995">
        <v>2537400</v>
      </c>
      <c r="F3" s="2993">
        <f>E3/C3</f>
        <v>30000</v>
      </c>
    </row>
    <row r="4" spans="1:6" s="2993" customFormat="1">
      <c r="A4" s="3204"/>
      <c r="B4" s="2991" t="s">
        <v>3221</v>
      </c>
      <c r="C4" s="2992">
        <v>83.88</v>
      </c>
      <c r="D4" s="2993" t="s">
        <v>3222</v>
      </c>
      <c r="E4" s="2992">
        <v>2516400</v>
      </c>
      <c r="F4" s="2993">
        <f>E4/C4</f>
        <v>30000</v>
      </c>
    </row>
    <row r="5" spans="1:6" s="2993" customFormat="1">
      <c r="A5" s="3204"/>
      <c r="B5" s="2991" t="s">
        <v>3223</v>
      </c>
      <c r="C5" s="2994">
        <v>45.51</v>
      </c>
      <c r="D5" s="2993" t="s">
        <v>3224</v>
      </c>
      <c r="E5" s="3002">
        <v>420000</v>
      </c>
    </row>
    <row r="6" spans="1:6" s="2993" customFormat="1">
      <c r="A6" s="3204"/>
      <c r="B6" s="2991" t="s">
        <v>3225</v>
      </c>
      <c r="C6" s="2994">
        <v>45.51</v>
      </c>
      <c r="D6" s="2993" t="s">
        <v>3224</v>
      </c>
      <c r="E6" s="3002">
        <v>420000</v>
      </c>
    </row>
    <row r="7" spans="1:6" s="2993" customFormat="1">
      <c r="A7" s="3204">
        <v>2</v>
      </c>
      <c r="B7" s="2991" t="s">
        <v>3226</v>
      </c>
      <c r="C7" s="2992">
        <v>134.83000000000001</v>
      </c>
      <c r="D7" s="2993" t="s">
        <v>3219</v>
      </c>
      <c r="E7" s="2995">
        <v>7845558</v>
      </c>
    </row>
    <row r="8" spans="1:6" s="2993" customFormat="1">
      <c r="A8" s="3204"/>
      <c r="B8" s="2991" t="s">
        <v>3227</v>
      </c>
      <c r="C8" s="2992">
        <v>84.99</v>
      </c>
      <c r="D8" s="2993" t="s">
        <v>4487</v>
      </c>
      <c r="E8" s="2995">
        <v>2549700</v>
      </c>
      <c r="F8" s="2993">
        <f t="shared" ref="F8:F9" si="0">E8/C8</f>
        <v>30000</v>
      </c>
    </row>
    <row r="9" spans="1:6" s="2993" customFormat="1">
      <c r="A9" s="3204"/>
      <c r="B9" s="2991" t="s">
        <v>3228</v>
      </c>
      <c r="C9" s="2992">
        <v>84.6</v>
      </c>
      <c r="D9" s="2993" t="s">
        <v>3222</v>
      </c>
      <c r="E9" s="2992">
        <v>2538000</v>
      </c>
      <c r="F9" s="2993">
        <f t="shared" si="0"/>
        <v>30000.000000000004</v>
      </c>
    </row>
    <row r="10" spans="1:6" s="2993" customFormat="1">
      <c r="A10" s="3204"/>
      <c r="B10" s="2991" t="s">
        <v>3229</v>
      </c>
      <c r="C10" s="2994">
        <v>45.51</v>
      </c>
      <c r="D10" s="2993" t="s">
        <v>3224</v>
      </c>
      <c r="E10" s="3002">
        <v>420000</v>
      </c>
    </row>
    <row r="11" spans="1:6" s="2993" customFormat="1">
      <c r="A11" s="3204"/>
      <c r="B11" s="2991" t="s">
        <v>3230</v>
      </c>
      <c r="C11" s="2994">
        <v>45.51</v>
      </c>
      <c r="D11" s="2993" t="s">
        <v>3224</v>
      </c>
      <c r="E11" s="3002">
        <v>420000</v>
      </c>
    </row>
    <row r="12" spans="1:6" s="2993" customFormat="1">
      <c r="A12" s="3204">
        <v>3</v>
      </c>
      <c r="B12" s="2995" t="s">
        <v>3231</v>
      </c>
      <c r="C12" s="2992">
        <v>134.63999999999999</v>
      </c>
      <c r="D12" s="2993" t="s">
        <v>3219</v>
      </c>
      <c r="E12" s="2991">
        <v>8550717</v>
      </c>
    </row>
    <row r="13" spans="1:6" s="2993" customFormat="1">
      <c r="A13" s="3204"/>
      <c r="B13" s="2991" t="s">
        <v>3232</v>
      </c>
      <c r="C13" s="2992">
        <v>84.58</v>
      </c>
      <c r="D13" s="2993" t="s">
        <v>4487</v>
      </c>
      <c r="E13" s="2991">
        <v>2537400</v>
      </c>
      <c r="F13" s="2993">
        <f t="shared" ref="F13:F14" si="1">E13/C13</f>
        <v>30000</v>
      </c>
    </row>
    <row r="14" spans="1:6" s="2993" customFormat="1">
      <c r="A14" s="3204"/>
      <c r="B14" s="2991" t="s">
        <v>3233</v>
      </c>
      <c r="C14" s="2992">
        <v>83.88</v>
      </c>
      <c r="D14" s="2993" t="s">
        <v>3222</v>
      </c>
      <c r="E14" s="2998">
        <v>2516400</v>
      </c>
      <c r="F14" s="2993">
        <f t="shared" si="1"/>
        <v>30000</v>
      </c>
    </row>
    <row r="15" spans="1:6" s="2993" customFormat="1">
      <c r="A15" s="3204"/>
      <c r="B15" s="2991" t="s">
        <v>3234</v>
      </c>
      <c r="C15" s="2994">
        <v>45.51</v>
      </c>
      <c r="D15" s="2993" t="s">
        <v>3235</v>
      </c>
      <c r="E15" s="3054">
        <v>420000</v>
      </c>
    </row>
    <row r="16" spans="1:6" s="2993" customFormat="1">
      <c r="A16" s="3204"/>
      <c r="B16" s="2991" t="s">
        <v>3236</v>
      </c>
      <c r="C16" s="2994">
        <v>45.51</v>
      </c>
      <c r="D16" s="2993" t="s">
        <v>3235</v>
      </c>
      <c r="E16" s="3054">
        <v>420000</v>
      </c>
    </row>
    <row r="17" spans="1:6" s="2993" customFormat="1">
      <c r="A17" s="3204">
        <v>4</v>
      </c>
      <c r="B17" s="2991" t="s">
        <v>3237</v>
      </c>
      <c r="C17" s="2992">
        <v>134.83000000000001</v>
      </c>
      <c r="D17" s="2993" t="s">
        <v>3238</v>
      </c>
      <c r="E17" s="2995">
        <v>8014430</v>
      </c>
    </row>
    <row r="18" spans="1:6" s="2993" customFormat="1">
      <c r="A18" s="3204"/>
      <c r="B18" s="2991" t="s">
        <v>3239</v>
      </c>
      <c r="C18" s="2992">
        <v>84.99</v>
      </c>
      <c r="D18" s="2993" t="s">
        <v>4487</v>
      </c>
      <c r="E18" s="2995">
        <v>2549700</v>
      </c>
      <c r="F18" s="2993">
        <f t="shared" ref="F18:F19" si="2">E18/C18</f>
        <v>30000</v>
      </c>
    </row>
    <row r="19" spans="1:6" s="2993" customFormat="1">
      <c r="A19" s="3204"/>
      <c r="B19" s="2991" t="s">
        <v>3240</v>
      </c>
      <c r="C19" s="2992">
        <v>84.6</v>
      </c>
      <c r="D19" s="2993" t="s">
        <v>3241</v>
      </c>
      <c r="E19" s="2992">
        <v>2538000</v>
      </c>
      <c r="F19" s="2993">
        <f t="shared" si="2"/>
        <v>30000.000000000004</v>
      </c>
    </row>
    <row r="20" spans="1:6" s="2993" customFormat="1">
      <c r="A20" s="3204"/>
      <c r="B20" s="2991" t="s">
        <v>3242</v>
      </c>
      <c r="C20" s="2994">
        <v>45.51</v>
      </c>
      <c r="D20" s="2993" t="s">
        <v>3235</v>
      </c>
      <c r="E20" s="3002">
        <v>420000</v>
      </c>
    </row>
    <row r="21" spans="1:6" s="2993" customFormat="1">
      <c r="A21" s="3204"/>
      <c r="B21" s="2991" t="s">
        <v>3243</v>
      </c>
      <c r="C21" s="2994">
        <v>45.51</v>
      </c>
      <c r="D21" s="2993" t="s">
        <v>3235</v>
      </c>
      <c r="E21" s="3002">
        <v>420000</v>
      </c>
    </row>
    <row r="22" spans="1:6" s="2993" customFormat="1">
      <c r="A22" s="3204">
        <v>5</v>
      </c>
      <c r="B22" s="2991" t="s">
        <v>3244</v>
      </c>
      <c r="C22" s="2992">
        <v>134.16999999999999</v>
      </c>
      <c r="D22" s="2993" t="s">
        <v>3238</v>
      </c>
      <c r="E22" s="2995">
        <v>7524852</v>
      </c>
    </row>
    <row r="23" spans="1:6" s="2993" customFormat="1">
      <c r="A23" s="3204"/>
      <c r="B23" s="2991" t="s">
        <v>3245</v>
      </c>
      <c r="C23" s="2992">
        <v>84.42</v>
      </c>
      <c r="D23" s="2993" t="s">
        <v>4487</v>
      </c>
      <c r="E23" s="2995">
        <v>2532600</v>
      </c>
      <c r="F23" s="2993">
        <f t="shared" ref="F23:F24" si="3">E23/C23</f>
        <v>30000</v>
      </c>
    </row>
    <row r="24" spans="1:6" s="2993" customFormat="1">
      <c r="A24" s="3204"/>
      <c r="B24" s="2991" t="s">
        <v>3246</v>
      </c>
      <c r="C24" s="2992">
        <v>84.15</v>
      </c>
      <c r="D24" s="2993" t="s">
        <v>3241</v>
      </c>
      <c r="E24" s="2992">
        <v>2524500</v>
      </c>
      <c r="F24" s="2993">
        <f t="shared" si="3"/>
        <v>29999.999999999996</v>
      </c>
    </row>
    <row r="25" spans="1:6" s="2993" customFormat="1">
      <c r="A25" s="3204"/>
      <c r="B25" s="2991" t="s">
        <v>3247</v>
      </c>
      <c r="C25" s="2994">
        <v>45.51</v>
      </c>
      <c r="D25" s="2993" t="s">
        <v>3235</v>
      </c>
      <c r="E25" s="3002">
        <v>420000</v>
      </c>
    </row>
    <row r="26" spans="1:6" s="2993" customFormat="1">
      <c r="A26" s="3204"/>
      <c r="B26" s="2991" t="s">
        <v>3248</v>
      </c>
      <c r="C26" s="2994">
        <v>45.51</v>
      </c>
      <c r="D26" s="2993" t="s">
        <v>3235</v>
      </c>
      <c r="E26" s="3002">
        <v>420000</v>
      </c>
    </row>
    <row r="27" spans="1:6" s="2993" customFormat="1">
      <c r="A27" s="3204">
        <v>6</v>
      </c>
      <c r="B27" s="2991" t="s">
        <v>3249</v>
      </c>
      <c r="C27" s="2994">
        <v>134.36000000000001</v>
      </c>
      <c r="D27" s="2993" t="s">
        <v>3238</v>
      </c>
      <c r="E27" s="3002">
        <v>7919210</v>
      </c>
    </row>
    <row r="28" spans="1:6" s="2993" customFormat="1">
      <c r="A28" s="3204"/>
      <c r="B28" s="2991" t="s">
        <v>3250</v>
      </c>
      <c r="C28" s="2992">
        <v>84.7</v>
      </c>
      <c r="D28" s="2993" t="s">
        <v>4487</v>
      </c>
      <c r="E28" s="2995">
        <v>2541000</v>
      </c>
      <c r="F28" s="2993">
        <f t="shared" ref="F28:F29" si="4">E28/C28</f>
        <v>30000</v>
      </c>
    </row>
    <row r="29" spans="1:6" s="2993" customFormat="1">
      <c r="A29" s="3204"/>
      <c r="B29" s="2991" t="s">
        <v>3251</v>
      </c>
      <c r="C29" s="2992">
        <v>84.15</v>
      </c>
      <c r="D29" s="2993" t="s">
        <v>3252</v>
      </c>
      <c r="E29" s="2992">
        <v>2524500</v>
      </c>
      <c r="F29" s="2993">
        <f t="shared" si="4"/>
        <v>29999.999999999996</v>
      </c>
    </row>
    <row r="30" spans="1:6" s="2993" customFormat="1">
      <c r="A30" s="3204"/>
      <c r="B30" s="2991" t="s">
        <v>3253</v>
      </c>
      <c r="C30" s="2994">
        <v>45.51</v>
      </c>
      <c r="D30" s="2993" t="s">
        <v>3254</v>
      </c>
      <c r="E30" s="3002">
        <v>420000</v>
      </c>
    </row>
    <row r="31" spans="1:6" s="2993" customFormat="1">
      <c r="A31" s="3204"/>
      <c r="B31" s="2991" t="s">
        <v>3255</v>
      </c>
      <c r="C31" s="2994">
        <v>45.51</v>
      </c>
      <c r="D31" s="2993" t="s">
        <v>3254</v>
      </c>
      <c r="E31" s="3002">
        <v>420000</v>
      </c>
    </row>
    <row r="32" spans="1:6" s="2993" customFormat="1">
      <c r="A32" s="3204">
        <v>7</v>
      </c>
      <c r="B32" s="2991" t="s">
        <v>3256</v>
      </c>
      <c r="C32" s="2992">
        <v>134.36000000000001</v>
      </c>
      <c r="D32" s="2993" t="s">
        <v>3257</v>
      </c>
      <c r="E32" s="2995">
        <v>8087437</v>
      </c>
    </row>
    <row r="33" spans="1:6" s="2993" customFormat="1">
      <c r="A33" s="3204"/>
      <c r="B33" s="2991" t="s">
        <v>3258</v>
      </c>
      <c r="C33" s="2992">
        <v>84.7</v>
      </c>
      <c r="D33" s="2993" t="s">
        <v>4487</v>
      </c>
      <c r="E33" s="2995">
        <v>2541000</v>
      </c>
      <c r="F33" s="2993">
        <f t="shared" ref="F33:F34" si="5">E33/C33</f>
        <v>30000</v>
      </c>
    </row>
    <row r="34" spans="1:6" s="2993" customFormat="1">
      <c r="A34" s="3204"/>
      <c r="B34" s="2991" t="s">
        <v>3259</v>
      </c>
      <c r="C34" s="2992">
        <v>84.15</v>
      </c>
      <c r="D34" s="2993" t="s">
        <v>3252</v>
      </c>
      <c r="E34" s="2995">
        <v>2524500</v>
      </c>
      <c r="F34" s="2993">
        <f t="shared" si="5"/>
        <v>29999.999999999996</v>
      </c>
    </row>
    <row r="35" spans="1:6" s="2993" customFormat="1">
      <c r="A35" s="3204"/>
      <c r="B35" s="2991" t="s">
        <v>3260</v>
      </c>
      <c r="C35" s="2992">
        <v>45.51</v>
      </c>
      <c r="D35" s="2993" t="s">
        <v>3254</v>
      </c>
      <c r="E35" s="2995">
        <v>420000</v>
      </c>
    </row>
    <row r="36" spans="1:6" s="2993" customFormat="1">
      <c r="A36" s="3204"/>
      <c r="B36" s="2991" t="s">
        <v>3261</v>
      </c>
      <c r="C36" s="2992">
        <v>45.51</v>
      </c>
      <c r="D36" s="2993" t="s">
        <v>3254</v>
      </c>
      <c r="E36" s="2995">
        <v>420000</v>
      </c>
    </row>
    <row r="37" spans="1:6" s="2993" customFormat="1">
      <c r="A37" s="3204">
        <v>8</v>
      </c>
      <c r="B37" s="2991" t="s">
        <v>3262</v>
      </c>
      <c r="C37" s="2992">
        <v>134.41</v>
      </c>
      <c r="D37" s="2993" t="s">
        <v>3257</v>
      </c>
      <c r="E37" s="2995">
        <v>7922161</v>
      </c>
    </row>
    <row r="38" spans="1:6" s="2993" customFormat="1">
      <c r="A38" s="3204"/>
      <c r="B38" s="2991" t="s">
        <v>3263</v>
      </c>
      <c r="C38" s="2992">
        <v>84.73</v>
      </c>
      <c r="D38" s="2993" t="s">
        <v>4487</v>
      </c>
      <c r="E38" s="2995">
        <v>2541900</v>
      </c>
      <c r="F38" s="2993">
        <f t="shared" ref="F38:F39" si="6">E38/C38</f>
        <v>30000</v>
      </c>
    </row>
    <row r="39" spans="1:6" s="2993" customFormat="1">
      <c r="A39" s="3204"/>
      <c r="B39" s="2991" t="s">
        <v>3264</v>
      </c>
      <c r="C39" s="2992">
        <v>84.16</v>
      </c>
      <c r="D39" s="2993" t="s">
        <v>3252</v>
      </c>
      <c r="E39" s="2995">
        <v>2524800</v>
      </c>
      <c r="F39" s="2993">
        <f t="shared" si="6"/>
        <v>30000</v>
      </c>
    </row>
    <row r="40" spans="1:6" s="2993" customFormat="1">
      <c r="A40" s="3204"/>
      <c r="B40" s="2991" t="s">
        <v>3265</v>
      </c>
      <c r="C40" s="2992">
        <v>45.51</v>
      </c>
      <c r="D40" s="2993" t="s">
        <v>3254</v>
      </c>
      <c r="E40" s="2995">
        <v>420000</v>
      </c>
    </row>
    <row r="41" spans="1:6" s="2993" customFormat="1">
      <c r="A41" s="3204"/>
      <c r="B41" s="2991" t="s">
        <v>3266</v>
      </c>
      <c r="C41" s="2992">
        <v>45.51</v>
      </c>
      <c r="D41" s="2993" t="s">
        <v>3254</v>
      </c>
      <c r="E41" s="2995">
        <v>420000</v>
      </c>
    </row>
    <row r="42" spans="1:6" s="2993" customFormat="1">
      <c r="A42" s="3204">
        <v>9</v>
      </c>
      <c r="B42" s="2991" t="s">
        <v>3267</v>
      </c>
      <c r="C42" s="2992">
        <v>134.41</v>
      </c>
      <c r="D42" s="2993" t="s">
        <v>3257</v>
      </c>
      <c r="E42" s="2995">
        <v>8090442</v>
      </c>
    </row>
    <row r="43" spans="1:6" s="2993" customFormat="1">
      <c r="A43" s="3204"/>
      <c r="B43" s="2991" t="s">
        <v>3268</v>
      </c>
      <c r="C43" s="2992">
        <v>84.73</v>
      </c>
      <c r="D43" s="2993" t="s">
        <v>4487</v>
      </c>
      <c r="E43" s="2995">
        <v>2541900</v>
      </c>
      <c r="F43" s="2993">
        <f t="shared" ref="F43:F44" si="7">E43/C43</f>
        <v>30000</v>
      </c>
    </row>
    <row r="44" spans="1:6" s="2993" customFormat="1">
      <c r="A44" s="3204"/>
      <c r="B44" s="2991" t="s">
        <v>3269</v>
      </c>
      <c r="C44" s="2992">
        <v>84.16</v>
      </c>
      <c r="D44" s="2993" t="s">
        <v>3252</v>
      </c>
      <c r="E44" s="2995">
        <v>2524800</v>
      </c>
      <c r="F44" s="2993">
        <f t="shared" si="7"/>
        <v>30000</v>
      </c>
    </row>
    <row r="45" spans="1:6" s="2993" customFormat="1">
      <c r="A45" s="3204"/>
      <c r="B45" s="2991" t="s">
        <v>3270</v>
      </c>
      <c r="C45" s="2992">
        <v>45.51</v>
      </c>
      <c r="D45" s="2993" t="s">
        <v>3254</v>
      </c>
      <c r="E45" s="2995">
        <v>420000</v>
      </c>
    </row>
    <row r="46" spans="1:6" s="2993" customFormat="1">
      <c r="A46" s="3204"/>
      <c r="B46" s="2991" t="s">
        <v>3271</v>
      </c>
      <c r="C46" s="2992">
        <v>45.51</v>
      </c>
      <c r="D46" s="2993" t="s">
        <v>3254</v>
      </c>
      <c r="E46" s="2995">
        <v>420000</v>
      </c>
    </row>
    <row r="47" spans="1:6" s="2993" customFormat="1">
      <c r="A47" s="3204">
        <v>10</v>
      </c>
      <c r="B47" s="2991" t="s">
        <v>3272</v>
      </c>
      <c r="C47" s="2992">
        <v>45.51</v>
      </c>
      <c r="D47" s="2993" t="s">
        <v>3254</v>
      </c>
      <c r="E47" s="2995">
        <v>420000</v>
      </c>
    </row>
    <row r="48" spans="1:6" s="2993" customFormat="1">
      <c r="A48" s="3204"/>
      <c r="B48" s="2991" t="s">
        <v>3273</v>
      </c>
      <c r="C48" s="2992">
        <v>45.51</v>
      </c>
      <c r="D48" s="2993" t="s">
        <v>3254</v>
      </c>
      <c r="E48" s="2995">
        <v>420000</v>
      </c>
    </row>
    <row r="49" spans="1:6" s="2993" customFormat="1">
      <c r="A49" s="3205">
        <v>11</v>
      </c>
      <c r="B49" s="2991" t="s">
        <v>3274</v>
      </c>
      <c r="C49" s="2992">
        <v>134.83000000000001</v>
      </c>
      <c r="D49" s="2993" t="s">
        <v>3257</v>
      </c>
      <c r="E49" s="2995">
        <v>7845558</v>
      </c>
    </row>
    <row r="50" spans="1:6" s="2993" customFormat="1">
      <c r="A50" s="3205"/>
      <c r="B50" s="2991" t="s">
        <v>3275</v>
      </c>
      <c r="C50" s="2992">
        <v>84.99</v>
      </c>
      <c r="D50" s="2993" t="s">
        <v>4487</v>
      </c>
      <c r="E50" s="2995">
        <v>2549700</v>
      </c>
      <c r="F50" s="2993">
        <f t="shared" ref="F50:F51" si="8">E50/C50</f>
        <v>30000</v>
      </c>
    </row>
    <row r="51" spans="1:6" s="2993" customFormat="1">
      <c r="A51" s="3205"/>
      <c r="B51" s="2991" t="s">
        <v>3276</v>
      </c>
      <c r="C51" s="2992">
        <v>84.6</v>
      </c>
      <c r="D51" s="2993" t="s">
        <v>3252</v>
      </c>
      <c r="E51" s="2995">
        <v>2538000</v>
      </c>
      <c r="F51" s="2993">
        <f t="shared" si="8"/>
        <v>30000.000000000004</v>
      </c>
    </row>
    <row r="52" spans="1:6" s="2993" customFormat="1">
      <c r="A52" s="3205"/>
      <c r="B52" s="2991" t="s">
        <v>3277</v>
      </c>
      <c r="C52" s="2992">
        <v>45.51</v>
      </c>
      <c r="D52" s="2993" t="s">
        <v>3254</v>
      </c>
      <c r="E52" s="2995">
        <v>420000</v>
      </c>
    </row>
    <row r="53" spans="1:6" s="2993" customFormat="1">
      <c r="A53" s="3205"/>
      <c r="B53" s="2991" t="s">
        <v>3278</v>
      </c>
      <c r="C53" s="2992">
        <v>45.51</v>
      </c>
      <c r="D53" s="2993" t="s">
        <v>3254</v>
      </c>
      <c r="E53" s="2995">
        <v>420000</v>
      </c>
    </row>
    <row r="54" spans="1:6" s="2993" customFormat="1">
      <c r="A54" s="3204">
        <v>12</v>
      </c>
      <c r="B54" s="2991" t="s">
        <v>3279</v>
      </c>
      <c r="C54" s="2992">
        <v>134.47</v>
      </c>
      <c r="D54" s="2993" t="s">
        <v>3257</v>
      </c>
      <c r="E54" s="2995">
        <v>7993032</v>
      </c>
    </row>
    <row r="55" spans="1:6" s="2993" customFormat="1">
      <c r="A55" s="3204"/>
      <c r="B55" s="2991" t="s">
        <v>3280</v>
      </c>
      <c r="C55" s="2992">
        <v>84.77</v>
      </c>
      <c r="D55" s="2993" t="s">
        <v>4487</v>
      </c>
      <c r="E55" s="2995">
        <v>2543100</v>
      </c>
      <c r="F55" s="2993">
        <f t="shared" ref="F55:F56" si="9">E55/C55</f>
        <v>30000</v>
      </c>
    </row>
    <row r="56" spans="1:6" s="2993" customFormat="1">
      <c r="A56" s="3204"/>
      <c r="B56" s="2991" t="s">
        <v>3281</v>
      </c>
      <c r="C56" s="2992">
        <v>84.36</v>
      </c>
      <c r="D56" s="2993" t="s">
        <v>3252</v>
      </c>
      <c r="E56" s="2995">
        <v>2530800</v>
      </c>
      <c r="F56" s="2993">
        <f t="shared" si="9"/>
        <v>30000</v>
      </c>
    </row>
    <row r="57" spans="1:6" s="2993" customFormat="1">
      <c r="A57" s="3204"/>
      <c r="B57" s="2991" t="s">
        <v>3282</v>
      </c>
      <c r="C57" s="2992">
        <v>45.51</v>
      </c>
      <c r="D57" s="2993" t="s">
        <v>3254</v>
      </c>
      <c r="E57" s="2995">
        <v>420000</v>
      </c>
    </row>
    <row r="58" spans="1:6" s="2993" customFormat="1">
      <c r="A58" s="3204"/>
      <c r="B58" s="2991" t="s">
        <v>3283</v>
      </c>
      <c r="C58" s="2992">
        <v>45.51</v>
      </c>
      <c r="D58" s="2993" t="s">
        <v>3254</v>
      </c>
      <c r="E58" s="2995">
        <v>420000</v>
      </c>
    </row>
    <row r="59" spans="1:6" s="2993" customFormat="1">
      <c r="A59" s="3205">
        <v>13</v>
      </c>
      <c r="B59" s="2991" t="s">
        <v>3284</v>
      </c>
      <c r="C59" s="2992">
        <v>134.83000000000001</v>
      </c>
      <c r="D59" s="2993" t="s">
        <v>3257</v>
      </c>
      <c r="E59" s="2995">
        <v>7946936</v>
      </c>
    </row>
    <row r="60" spans="1:6" s="2993" customFormat="1">
      <c r="A60" s="3205"/>
      <c r="B60" s="2991" t="s">
        <v>3285</v>
      </c>
      <c r="C60" s="2992">
        <v>85</v>
      </c>
      <c r="D60" s="2993" t="s">
        <v>4487</v>
      </c>
      <c r="E60" s="2995">
        <v>2550000</v>
      </c>
      <c r="F60" s="2993">
        <f t="shared" ref="F60:F61" si="10">E60/C60</f>
        <v>30000</v>
      </c>
    </row>
    <row r="61" spans="1:6" s="2993" customFormat="1">
      <c r="A61" s="3205"/>
      <c r="B61" s="2991" t="s">
        <v>3286</v>
      </c>
      <c r="C61" s="2992">
        <v>84.32</v>
      </c>
      <c r="D61" s="2993" t="s">
        <v>3241</v>
      </c>
      <c r="E61" s="2995">
        <v>2529600</v>
      </c>
      <c r="F61" s="2993">
        <f t="shared" si="10"/>
        <v>30000.000000000004</v>
      </c>
    </row>
    <row r="62" spans="1:6" s="2993" customFormat="1">
      <c r="A62" s="3205"/>
      <c r="B62" s="2991" t="s">
        <v>3287</v>
      </c>
      <c r="C62" s="2992">
        <v>45.51</v>
      </c>
      <c r="D62" s="2993" t="s">
        <v>3235</v>
      </c>
      <c r="E62" s="2995">
        <v>420000</v>
      </c>
    </row>
    <row r="63" spans="1:6" s="2993" customFormat="1">
      <c r="A63" s="3205"/>
      <c r="B63" s="2991" t="s">
        <v>3288</v>
      </c>
      <c r="C63" s="2992">
        <v>45.51</v>
      </c>
      <c r="D63" s="2993" t="s">
        <v>3235</v>
      </c>
      <c r="E63" s="2995">
        <v>420000</v>
      </c>
    </row>
    <row r="64" spans="1:6" s="2993" customFormat="1">
      <c r="A64" s="3204">
        <v>14</v>
      </c>
      <c r="B64" s="2991" t="s">
        <v>3289</v>
      </c>
      <c r="C64" s="2992">
        <v>134.63999999999999</v>
      </c>
      <c r="D64" s="2993" t="s">
        <v>3238</v>
      </c>
      <c r="E64" s="2995">
        <v>8514647</v>
      </c>
    </row>
    <row r="65" spans="1:6" s="2993" customFormat="1">
      <c r="A65" s="3204"/>
      <c r="B65" s="2991" t="s">
        <v>3290</v>
      </c>
      <c r="C65" s="2992">
        <v>84.58</v>
      </c>
      <c r="D65" s="2993" t="s">
        <v>4487</v>
      </c>
      <c r="E65" s="2995">
        <v>2537400</v>
      </c>
      <c r="F65" s="2993">
        <f t="shared" ref="F65:F66" si="11">E65/C65</f>
        <v>30000</v>
      </c>
    </row>
    <row r="66" spans="1:6" s="2993" customFormat="1">
      <c r="A66" s="3204"/>
      <c r="B66" s="2991" t="s">
        <v>3291</v>
      </c>
      <c r="C66" s="2992">
        <v>83.6</v>
      </c>
      <c r="D66" s="2993" t="s">
        <v>3241</v>
      </c>
      <c r="E66" s="2995">
        <v>2508000</v>
      </c>
      <c r="F66" s="2993">
        <f t="shared" si="11"/>
        <v>30000.000000000004</v>
      </c>
    </row>
    <row r="67" spans="1:6" s="2993" customFormat="1">
      <c r="A67" s="3204"/>
      <c r="B67" s="2991" t="s">
        <v>3292</v>
      </c>
      <c r="C67" s="2992">
        <v>45.51</v>
      </c>
      <c r="D67" s="2993" t="s">
        <v>3235</v>
      </c>
      <c r="E67" s="2995">
        <v>420000</v>
      </c>
    </row>
    <row r="68" spans="1:6" s="2993" customFormat="1">
      <c r="A68" s="3204"/>
      <c r="B68" s="2991" t="s">
        <v>3293</v>
      </c>
      <c r="C68" s="2992">
        <v>45.51</v>
      </c>
      <c r="D68" s="2993" t="s">
        <v>3235</v>
      </c>
      <c r="E68" s="2995">
        <v>420000</v>
      </c>
    </row>
    <row r="69" spans="1:6" s="2993" customFormat="1">
      <c r="A69" s="3205">
        <v>15</v>
      </c>
      <c r="B69" s="2991" t="s">
        <v>3294</v>
      </c>
      <c r="C69" s="2992">
        <v>134.83000000000001</v>
      </c>
      <c r="D69" s="2993" t="s">
        <v>3238</v>
      </c>
      <c r="E69" s="2995">
        <v>8115706</v>
      </c>
    </row>
    <row r="70" spans="1:6" s="2993" customFormat="1">
      <c r="A70" s="3205"/>
      <c r="B70" s="2991" t="s">
        <v>3295</v>
      </c>
      <c r="C70" s="2992">
        <v>85</v>
      </c>
      <c r="D70" s="2993" t="s">
        <v>4487</v>
      </c>
      <c r="E70" s="2995">
        <v>2550000</v>
      </c>
      <c r="F70" s="2993">
        <f t="shared" ref="F70:F71" si="12">E70/C70</f>
        <v>30000</v>
      </c>
    </row>
    <row r="71" spans="1:6" s="2993" customFormat="1">
      <c r="A71" s="3205"/>
      <c r="B71" s="2991" t="s">
        <v>3296</v>
      </c>
      <c r="C71" s="2992">
        <v>84.32</v>
      </c>
      <c r="D71" s="2993" t="s">
        <v>3241</v>
      </c>
      <c r="E71" s="2995">
        <v>2529600</v>
      </c>
      <c r="F71" s="2993">
        <f t="shared" si="12"/>
        <v>30000.000000000004</v>
      </c>
    </row>
    <row r="72" spans="1:6" s="2993" customFormat="1">
      <c r="A72" s="3205"/>
      <c r="B72" s="2991" t="s">
        <v>3297</v>
      </c>
      <c r="C72" s="2992">
        <v>45.51</v>
      </c>
      <c r="D72" s="2993" t="s">
        <v>3235</v>
      </c>
      <c r="E72" s="2995">
        <v>420000</v>
      </c>
    </row>
    <row r="73" spans="1:6" s="2993" customFormat="1">
      <c r="A73" s="3205"/>
      <c r="B73" s="2991" t="s">
        <v>3298</v>
      </c>
      <c r="C73" s="2992">
        <v>45.51</v>
      </c>
      <c r="D73" s="2993" t="s">
        <v>3235</v>
      </c>
      <c r="E73" s="2995">
        <v>420000</v>
      </c>
    </row>
    <row r="74" spans="1:6" s="2993" customFormat="1">
      <c r="A74" s="3204">
        <v>16</v>
      </c>
      <c r="B74" s="2991" t="s">
        <v>3299</v>
      </c>
      <c r="C74" s="2992">
        <v>134.29</v>
      </c>
      <c r="D74" s="2993" t="s">
        <v>3238</v>
      </c>
      <c r="E74" s="2995">
        <v>8528489</v>
      </c>
    </row>
    <row r="75" spans="1:6" s="2993" customFormat="1" ht="24">
      <c r="A75" s="3204"/>
      <c r="B75" s="2991" t="s">
        <v>3300</v>
      </c>
      <c r="C75" s="2992">
        <v>84.35</v>
      </c>
      <c r="D75" s="2993" t="s">
        <v>4487</v>
      </c>
      <c r="E75" s="2995">
        <v>2530500</v>
      </c>
      <c r="F75" s="2993">
        <f t="shared" ref="F75:F76" si="13">E75/C75</f>
        <v>30000.000000000004</v>
      </c>
    </row>
    <row r="76" spans="1:6" s="2993" customFormat="1">
      <c r="A76" s="3204"/>
      <c r="B76" s="2991" t="s">
        <v>3301</v>
      </c>
      <c r="C76" s="2992">
        <v>83.62</v>
      </c>
      <c r="D76" s="2993" t="s">
        <v>3241</v>
      </c>
      <c r="E76" s="2995">
        <v>2508600</v>
      </c>
      <c r="F76" s="2993">
        <f t="shared" si="13"/>
        <v>30000</v>
      </c>
    </row>
    <row r="77" spans="1:6" s="2993" customFormat="1">
      <c r="A77" s="3204"/>
      <c r="B77" s="2991" t="s">
        <v>3302</v>
      </c>
      <c r="C77" s="2992">
        <v>45.51</v>
      </c>
      <c r="D77" s="2993" t="s">
        <v>3235</v>
      </c>
      <c r="E77" s="2995">
        <v>420000</v>
      </c>
    </row>
    <row r="78" spans="1:6" s="2993" customFormat="1">
      <c r="A78" s="3204"/>
      <c r="B78" s="2991" t="s">
        <v>3303</v>
      </c>
      <c r="C78" s="2992">
        <v>45.51</v>
      </c>
      <c r="D78" s="2993" t="s">
        <v>3235</v>
      </c>
      <c r="E78" s="2995">
        <v>420000</v>
      </c>
    </row>
    <row r="79" spans="1:6" s="2993" customFormat="1">
      <c r="A79" s="3205">
        <v>17</v>
      </c>
      <c r="B79" s="2991" t="s">
        <v>3304</v>
      </c>
      <c r="C79" s="2992">
        <v>134.47</v>
      </c>
      <c r="D79" s="2993" t="s">
        <v>3238</v>
      </c>
      <c r="E79" s="2995">
        <v>7993033</v>
      </c>
    </row>
    <row r="80" spans="1:6" s="2993" customFormat="1" ht="24">
      <c r="A80" s="3205"/>
      <c r="B80" s="2991" t="s">
        <v>3305</v>
      </c>
      <c r="C80" s="2992">
        <v>84.77</v>
      </c>
      <c r="D80" s="2993" t="s">
        <v>4487</v>
      </c>
      <c r="E80" s="2995">
        <v>2543100</v>
      </c>
      <c r="F80" s="2993">
        <f t="shared" ref="F80:F81" si="14">E80/C80</f>
        <v>30000</v>
      </c>
    </row>
    <row r="81" spans="1:6" s="2993" customFormat="1">
      <c r="A81" s="3205"/>
      <c r="B81" s="2991" t="s">
        <v>3306</v>
      </c>
      <c r="C81" s="2992">
        <v>84.34</v>
      </c>
      <c r="D81" s="2993" t="s">
        <v>3241</v>
      </c>
      <c r="E81" s="2995">
        <v>2530200</v>
      </c>
      <c r="F81" s="2993">
        <f t="shared" si="14"/>
        <v>30000</v>
      </c>
    </row>
    <row r="82" spans="1:6" s="2993" customFormat="1">
      <c r="A82" s="3205"/>
      <c r="B82" s="2991" t="s">
        <v>3307</v>
      </c>
      <c r="C82" s="2992">
        <v>45.51</v>
      </c>
      <c r="D82" s="2993" t="s">
        <v>3235</v>
      </c>
      <c r="E82" s="2995">
        <v>420000</v>
      </c>
    </row>
    <row r="83" spans="1:6" s="2993" customFormat="1">
      <c r="A83" s="3205"/>
      <c r="B83" s="2991" t="s">
        <v>3308</v>
      </c>
      <c r="C83" s="2992">
        <v>45.51</v>
      </c>
      <c r="D83" s="2993" t="s">
        <v>3235</v>
      </c>
      <c r="E83" s="2995">
        <v>420000</v>
      </c>
    </row>
    <row r="84" spans="1:6" s="2993" customFormat="1">
      <c r="A84" s="3205">
        <v>18</v>
      </c>
      <c r="B84" s="2991" t="s">
        <v>3309</v>
      </c>
      <c r="C84" s="2992">
        <v>109.54</v>
      </c>
      <c r="D84" s="2993" t="s">
        <v>3238</v>
      </c>
      <c r="E84" s="2995">
        <v>5972523</v>
      </c>
    </row>
    <row r="85" spans="1:6" s="2993" customFormat="1" ht="24">
      <c r="A85" s="3205"/>
      <c r="B85" s="2991" t="s">
        <v>3310</v>
      </c>
      <c r="C85" s="2992">
        <v>68.930000000000007</v>
      </c>
      <c r="D85" s="2993" t="s">
        <v>4487</v>
      </c>
      <c r="E85" s="2995">
        <v>2067900</v>
      </c>
      <c r="F85" s="2993">
        <f t="shared" ref="F85:F86" si="15">E85/C85</f>
        <v>29999.999999999996</v>
      </c>
    </row>
    <row r="86" spans="1:6" s="2993" customFormat="1">
      <c r="A86" s="3205"/>
      <c r="B86" s="2991" t="s">
        <v>3311</v>
      </c>
      <c r="C86" s="2992">
        <v>124.79</v>
      </c>
      <c r="D86" s="2993" t="s">
        <v>3241</v>
      </c>
      <c r="E86" s="2995">
        <v>3743700</v>
      </c>
      <c r="F86" s="2993">
        <f t="shared" si="15"/>
        <v>30000</v>
      </c>
    </row>
    <row r="87" spans="1:6" s="2993" customFormat="1">
      <c r="A87" s="3205"/>
      <c r="B87" s="2991" t="s">
        <v>3312</v>
      </c>
      <c r="C87" s="2992">
        <v>45.51</v>
      </c>
      <c r="D87" s="2993" t="s">
        <v>3235</v>
      </c>
      <c r="E87" s="2995">
        <v>420000</v>
      </c>
    </row>
    <row r="88" spans="1:6" s="2993" customFormat="1">
      <c r="A88" s="3205"/>
      <c r="B88" s="2991" t="s">
        <v>3313</v>
      </c>
      <c r="C88" s="2992">
        <v>45.51</v>
      </c>
      <c r="D88" s="2993" t="s">
        <v>3235</v>
      </c>
      <c r="E88" s="2995">
        <v>420000</v>
      </c>
    </row>
    <row r="89" spans="1:6" s="2993" customFormat="1">
      <c r="A89" s="3204">
        <v>19</v>
      </c>
      <c r="B89" s="2991" t="s">
        <v>3314</v>
      </c>
      <c r="C89" s="2992">
        <v>109.7</v>
      </c>
      <c r="D89" s="2993" t="s">
        <v>3238</v>
      </c>
      <c r="E89" s="2995">
        <v>6359022</v>
      </c>
    </row>
    <row r="90" spans="1:6" s="2993" customFormat="1" ht="24">
      <c r="A90" s="3204"/>
      <c r="B90" s="2991" t="s">
        <v>3315</v>
      </c>
      <c r="C90" s="2992">
        <v>69.150000000000006</v>
      </c>
      <c r="D90" s="2993" t="s">
        <v>4487</v>
      </c>
      <c r="E90" s="2995">
        <v>2074500</v>
      </c>
      <c r="F90" s="2993">
        <f t="shared" ref="F90:F91" si="16">E90/C90</f>
        <v>29999.999999999996</v>
      </c>
    </row>
    <row r="91" spans="1:6" s="2993" customFormat="1">
      <c r="A91" s="3204"/>
      <c r="B91" s="2991" t="s">
        <v>3316</v>
      </c>
      <c r="C91" s="2992">
        <v>124.79</v>
      </c>
      <c r="D91" s="2993" t="s">
        <v>3241</v>
      </c>
      <c r="E91" s="2995">
        <v>3743700</v>
      </c>
      <c r="F91" s="2993">
        <f t="shared" si="16"/>
        <v>30000</v>
      </c>
    </row>
    <row r="92" spans="1:6" s="2993" customFormat="1">
      <c r="A92" s="3204"/>
      <c r="B92" s="2991" t="s">
        <v>3317</v>
      </c>
      <c r="C92" s="2992">
        <v>45.51</v>
      </c>
      <c r="D92" s="2993" t="s">
        <v>3235</v>
      </c>
      <c r="E92" s="2995">
        <v>420000</v>
      </c>
    </row>
    <row r="93" spans="1:6" s="2993" customFormat="1">
      <c r="A93" s="3204"/>
      <c r="B93" s="2991" t="s">
        <v>3318</v>
      </c>
      <c r="C93" s="2992">
        <v>45.51</v>
      </c>
      <c r="D93" s="2993" t="s">
        <v>3235</v>
      </c>
      <c r="E93" s="2995">
        <v>420000</v>
      </c>
    </row>
    <row r="94" spans="1:6" s="2993" customFormat="1">
      <c r="A94" s="3205">
        <v>20</v>
      </c>
      <c r="B94" s="2991" t="s">
        <v>3319</v>
      </c>
      <c r="C94" s="2992">
        <v>109.7</v>
      </c>
      <c r="D94" s="2993" t="s">
        <v>3238</v>
      </c>
      <c r="E94" s="2995">
        <v>6517824</v>
      </c>
    </row>
    <row r="95" spans="1:6" s="2993" customFormat="1" ht="24">
      <c r="A95" s="3205"/>
      <c r="B95" s="2991" t="s">
        <v>3320</v>
      </c>
      <c r="C95" s="2992">
        <v>69.150000000000006</v>
      </c>
      <c r="D95" s="2993" t="s">
        <v>4487</v>
      </c>
      <c r="E95" s="2995">
        <v>2074500</v>
      </c>
      <c r="F95" s="2993">
        <f t="shared" ref="F95:F96" si="17">E95/C95</f>
        <v>29999.999999999996</v>
      </c>
    </row>
    <row r="96" spans="1:6" s="2993" customFormat="1">
      <c r="A96" s="3205"/>
      <c r="B96" s="2991" t="s">
        <v>3321</v>
      </c>
      <c r="C96" s="2992">
        <v>124.79</v>
      </c>
      <c r="D96" s="2993" t="s">
        <v>3241</v>
      </c>
      <c r="E96" s="2995">
        <v>3743700</v>
      </c>
      <c r="F96" s="2993">
        <f t="shared" si="17"/>
        <v>30000</v>
      </c>
    </row>
    <row r="97" spans="1:6" s="2993" customFormat="1">
      <c r="A97" s="3205"/>
      <c r="B97" s="2991" t="s">
        <v>3322</v>
      </c>
      <c r="C97" s="2992">
        <v>45.51</v>
      </c>
      <c r="D97" s="2993" t="s">
        <v>3235</v>
      </c>
      <c r="E97" s="2995">
        <v>420000</v>
      </c>
    </row>
    <row r="98" spans="1:6" s="2993" customFormat="1">
      <c r="A98" s="3205"/>
      <c r="B98" s="2991" t="s">
        <v>3323</v>
      </c>
      <c r="C98" s="2992">
        <v>45.51</v>
      </c>
      <c r="D98" s="2993" t="s">
        <v>3235</v>
      </c>
      <c r="E98" s="2995">
        <v>420000</v>
      </c>
    </row>
    <row r="99" spans="1:6" s="2993" customFormat="1">
      <c r="A99" s="3205">
        <v>21</v>
      </c>
      <c r="B99" s="2991" t="s">
        <v>3324</v>
      </c>
      <c r="C99" s="2992">
        <v>134.63999999999999</v>
      </c>
      <c r="D99" s="2993" t="s">
        <v>3238</v>
      </c>
      <c r="E99" s="2995">
        <v>8346460</v>
      </c>
    </row>
    <row r="100" spans="1:6" s="2993" customFormat="1" ht="24">
      <c r="A100" s="3205"/>
      <c r="B100" s="2991" t="s">
        <v>3325</v>
      </c>
      <c r="C100" s="2992">
        <v>84.58</v>
      </c>
      <c r="D100" s="2993" t="s">
        <v>4487</v>
      </c>
      <c r="E100" s="2995">
        <v>2537400</v>
      </c>
      <c r="F100" s="2993">
        <f t="shared" ref="F100:F101" si="18">E100/C100</f>
        <v>30000</v>
      </c>
    </row>
    <row r="101" spans="1:6" s="2993" customFormat="1">
      <c r="A101" s="3205"/>
      <c r="B101" s="2991" t="s">
        <v>3326</v>
      </c>
      <c r="C101" s="2992">
        <v>83.6</v>
      </c>
      <c r="D101" s="2993" t="s">
        <v>3241</v>
      </c>
      <c r="E101" s="2995">
        <v>2508000</v>
      </c>
      <c r="F101" s="2993">
        <f t="shared" si="18"/>
        <v>30000.000000000004</v>
      </c>
    </row>
    <row r="102" spans="1:6" s="2993" customFormat="1">
      <c r="A102" s="3205"/>
      <c r="B102" s="2991" t="s">
        <v>3327</v>
      </c>
      <c r="C102" s="2992">
        <v>45.51</v>
      </c>
      <c r="D102" s="2993" t="s">
        <v>3235</v>
      </c>
      <c r="E102" s="2995">
        <v>420000</v>
      </c>
    </row>
    <row r="103" spans="1:6" s="2993" customFormat="1">
      <c r="A103" s="3205"/>
      <c r="B103" s="2991" t="s">
        <v>3328</v>
      </c>
      <c r="C103" s="2992">
        <v>45.51</v>
      </c>
      <c r="D103" s="2993" t="s">
        <v>3235</v>
      </c>
      <c r="E103" s="2995">
        <v>420000</v>
      </c>
    </row>
    <row r="104" spans="1:6" s="2993" customFormat="1">
      <c r="A104" s="3204">
        <v>22</v>
      </c>
      <c r="B104" s="2991" t="s">
        <v>3329</v>
      </c>
      <c r="C104" s="2992">
        <v>134.83000000000001</v>
      </c>
      <c r="D104" s="2993" t="s">
        <v>3238</v>
      </c>
      <c r="E104" s="2995">
        <v>8115706</v>
      </c>
    </row>
    <row r="105" spans="1:6" s="2993" customFormat="1" ht="24">
      <c r="A105" s="3204"/>
      <c r="B105" s="2991" t="s">
        <v>3330</v>
      </c>
      <c r="C105" s="2992">
        <v>85</v>
      </c>
      <c r="D105" s="2993" t="s">
        <v>4487</v>
      </c>
      <c r="E105" s="2995">
        <v>2550000</v>
      </c>
      <c r="F105" s="2993">
        <f t="shared" ref="F105:F106" si="19">E105/C105</f>
        <v>30000</v>
      </c>
    </row>
    <row r="106" spans="1:6" s="2993" customFormat="1">
      <c r="A106" s="3204"/>
      <c r="B106" s="2991" t="s">
        <v>3331</v>
      </c>
      <c r="C106" s="2992">
        <v>84.32</v>
      </c>
      <c r="D106" s="2993" t="s">
        <v>3241</v>
      </c>
      <c r="E106" s="2995">
        <v>2529600</v>
      </c>
      <c r="F106" s="2993">
        <f t="shared" si="19"/>
        <v>30000.000000000004</v>
      </c>
    </row>
    <row r="107" spans="1:6" s="2993" customFormat="1">
      <c r="A107" s="3204"/>
      <c r="B107" s="2991" t="s">
        <v>3332</v>
      </c>
      <c r="C107" s="2992">
        <v>45.51</v>
      </c>
      <c r="D107" s="2993" t="s">
        <v>3235</v>
      </c>
      <c r="E107" s="2995">
        <v>420000</v>
      </c>
    </row>
    <row r="108" spans="1:6" s="2993" customFormat="1">
      <c r="A108" s="3204"/>
      <c r="B108" s="2991" t="s">
        <v>3333</v>
      </c>
      <c r="C108" s="2992">
        <v>45.51</v>
      </c>
      <c r="D108" s="2993" t="s">
        <v>3235</v>
      </c>
      <c r="E108" s="2995">
        <v>420000</v>
      </c>
    </row>
    <row r="109" spans="1:6" s="2993" customFormat="1">
      <c r="A109" s="3204">
        <v>23</v>
      </c>
      <c r="B109" s="2991" t="s">
        <v>3334</v>
      </c>
      <c r="C109" s="2992">
        <v>45.51</v>
      </c>
      <c r="D109" s="2993" t="s">
        <v>3235</v>
      </c>
      <c r="E109" s="2995">
        <v>420000</v>
      </c>
    </row>
    <row r="110" spans="1:6" s="2993" customFormat="1">
      <c r="A110" s="3204"/>
      <c r="B110" s="2991" t="s">
        <v>3335</v>
      </c>
      <c r="C110" s="2992">
        <v>45.51</v>
      </c>
      <c r="D110" s="2993" t="s">
        <v>3235</v>
      </c>
      <c r="E110" s="2995">
        <v>420000</v>
      </c>
    </row>
    <row r="111" spans="1:6" s="2993" customFormat="1">
      <c r="A111" s="3204">
        <v>24</v>
      </c>
      <c r="B111" s="2991" t="s">
        <v>3336</v>
      </c>
      <c r="C111" s="2992">
        <v>134.83000000000001</v>
      </c>
      <c r="D111" s="2993" t="s">
        <v>3238</v>
      </c>
      <c r="E111" s="2995">
        <v>8014430</v>
      </c>
    </row>
    <row r="112" spans="1:6" s="2993" customFormat="1" ht="24">
      <c r="A112" s="3204"/>
      <c r="B112" s="2991" t="s">
        <v>3337</v>
      </c>
      <c r="C112" s="2992">
        <v>84.99</v>
      </c>
      <c r="D112" s="2993" t="s">
        <v>4487</v>
      </c>
      <c r="E112" s="2995">
        <v>2549700</v>
      </c>
      <c r="F112" s="2993">
        <f t="shared" ref="F112:F113" si="20">E112/C112</f>
        <v>30000</v>
      </c>
    </row>
    <row r="113" spans="1:6" s="2993" customFormat="1">
      <c r="A113" s="3204"/>
      <c r="B113" s="2991" t="s">
        <v>3338</v>
      </c>
      <c r="C113" s="2992">
        <v>84.6</v>
      </c>
      <c r="D113" s="2993" t="s">
        <v>3241</v>
      </c>
      <c r="E113" s="2995">
        <v>2538000</v>
      </c>
      <c r="F113" s="2993">
        <f t="shared" si="20"/>
        <v>30000.000000000004</v>
      </c>
    </row>
    <row r="114" spans="1:6" s="2993" customFormat="1">
      <c r="A114" s="3204"/>
      <c r="B114" s="2991" t="s">
        <v>3339</v>
      </c>
      <c r="C114" s="2992">
        <v>45.51</v>
      </c>
      <c r="D114" s="2993" t="s">
        <v>3235</v>
      </c>
      <c r="E114" s="2995">
        <v>420000</v>
      </c>
    </row>
    <row r="115" spans="1:6" s="2993" customFormat="1">
      <c r="A115" s="3204"/>
      <c r="B115" s="2991" t="s">
        <v>3340</v>
      </c>
      <c r="C115" s="2992">
        <v>45.51</v>
      </c>
      <c r="D115" s="2993" t="s">
        <v>3235</v>
      </c>
      <c r="E115" s="2995">
        <v>420000</v>
      </c>
    </row>
    <row r="116" spans="1:6" s="2993" customFormat="1">
      <c r="A116" s="3204">
        <v>25</v>
      </c>
      <c r="B116" s="2991" t="s">
        <v>3341</v>
      </c>
      <c r="C116" s="2992">
        <v>139.24</v>
      </c>
      <c r="D116" s="2993" t="s">
        <v>3238</v>
      </c>
      <c r="E116" s="2995">
        <v>8842854</v>
      </c>
    </row>
    <row r="117" spans="1:6" s="2993" customFormat="1" ht="24">
      <c r="A117" s="3204"/>
      <c r="B117" s="2991" t="s">
        <v>3342</v>
      </c>
      <c r="C117" s="2992">
        <v>87.25</v>
      </c>
      <c r="D117" s="2993" t="s">
        <v>4487</v>
      </c>
      <c r="E117" s="2995">
        <v>2617500</v>
      </c>
      <c r="F117" s="2993">
        <f t="shared" ref="F117:F118" si="21">E117/C117</f>
        <v>30000</v>
      </c>
    </row>
    <row r="118" spans="1:6" s="2993" customFormat="1">
      <c r="A118" s="3204"/>
      <c r="B118" s="2991" t="s">
        <v>3343</v>
      </c>
      <c r="C118" s="2992">
        <v>85.48</v>
      </c>
      <c r="D118" s="2993" t="s">
        <v>3241</v>
      </c>
      <c r="E118" s="2995">
        <v>2564400</v>
      </c>
      <c r="F118" s="2993">
        <f t="shared" si="21"/>
        <v>30000</v>
      </c>
    </row>
    <row r="119" spans="1:6" s="2993" customFormat="1">
      <c r="A119" s="3204"/>
      <c r="B119" s="2991" t="s">
        <v>3344</v>
      </c>
      <c r="C119" s="2992">
        <v>45.51</v>
      </c>
      <c r="D119" s="2993" t="s">
        <v>3235</v>
      </c>
      <c r="E119" s="2995">
        <v>420000</v>
      </c>
    </row>
    <row r="120" spans="1:6" s="2993" customFormat="1">
      <c r="A120" s="3204"/>
      <c r="B120" s="2991" t="s">
        <v>3345</v>
      </c>
      <c r="C120" s="2992">
        <v>45.51</v>
      </c>
      <c r="D120" s="2993" t="s">
        <v>3235</v>
      </c>
      <c r="E120" s="2995">
        <v>420000</v>
      </c>
    </row>
    <row r="121" spans="1:6" s="2993" customFormat="1">
      <c r="A121" s="3204">
        <v>26</v>
      </c>
      <c r="B121" s="2991" t="s">
        <v>3346</v>
      </c>
      <c r="C121" s="2992">
        <v>134.28</v>
      </c>
      <c r="D121" s="2993" t="s">
        <v>3238</v>
      </c>
      <c r="E121" s="2995">
        <v>7699179</v>
      </c>
    </row>
    <row r="122" spans="1:6" s="2993" customFormat="1" ht="24">
      <c r="A122" s="3204"/>
      <c r="B122" s="2991" t="s">
        <v>3347</v>
      </c>
      <c r="C122" s="2992">
        <v>84.49</v>
      </c>
      <c r="D122" s="2993" t="s">
        <v>4487</v>
      </c>
      <c r="E122" s="2995">
        <v>2534700</v>
      </c>
      <c r="F122" s="2993">
        <f t="shared" ref="F122:F123" si="22">E122/C122</f>
        <v>30000</v>
      </c>
    </row>
    <row r="123" spans="1:6" s="2993" customFormat="1">
      <c r="A123" s="3204"/>
      <c r="B123" s="2991" t="s">
        <v>3348</v>
      </c>
      <c r="C123" s="2992">
        <v>84.17</v>
      </c>
      <c r="D123" s="2993" t="s">
        <v>3241</v>
      </c>
      <c r="E123" s="2995">
        <v>2525100</v>
      </c>
      <c r="F123" s="2993">
        <f t="shared" si="22"/>
        <v>30000</v>
      </c>
    </row>
    <row r="124" spans="1:6" s="2993" customFormat="1">
      <c r="A124" s="3204"/>
      <c r="B124" s="2991" t="s">
        <v>3349</v>
      </c>
      <c r="C124" s="2992">
        <v>45.51</v>
      </c>
      <c r="D124" s="2993" t="s">
        <v>3235</v>
      </c>
      <c r="E124" s="2995">
        <v>420000</v>
      </c>
    </row>
    <row r="125" spans="1:6" s="2993" customFormat="1">
      <c r="A125" s="3204"/>
      <c r="B125" s="2991" t="s">
        <v>3350</v>
      </c>
      <c r="C125" s="2992">
        <v>45.51</v>
      </c>
      <c r="D125" s="2993" t="s">
        <v>3235</v>
      </c>
      <c r="E125" s="2995">
        <v>420000</v>
      </c>
    </row>
    <row r="126" spans="1:6" s="2993" customFormat="1">
      <c r="A126" s="3204">
        <v>27</v>
      </c>
      <c r="B126" s="2991" t="s">
        <v>3351</v>
      </c>
      <c r="C126" s="2992">
        <v>134.83000000000001</v>
      </c>
      <c r="D126" s="2993" t="s">
        <v>3238</v>
      </c>
      <c r="E126" s="2995">
        <v>7845558</v>
      </c>
    </row>
    <row r="127" spans="1:6" s="2993" customFormat="1" ht="24">
      <c r="A127" s="3204"/>
      <c r="B127" s="2991" t="s">
        <v>3352</v>
      </c>
      <c r="C127" s="2992">
        <v>84.99</v>
      </c>
      <c r="D127" s="2993" t="s">
        <v>4487</v>
      </c>
      <c r="E127" s="2995">
        <v>2549700</v>
      </c>
      <c r="F127" s="2993">
        <f t="shared" ref="F127:F128" si="23">E127/C127</f>
        <v>30000</v>
      </c>
    </row>
    <row r="128" spans="1:6" s="2993" customFormat="1">
      <c r="A128" s="3204"/>
      <c r="B128" s="2991" t="s">
        <v>3353</v>
      </c>
      <c r="C128" s="2992">
        <v>84.6</v>
      </c>
      <c r="D128" s="2993" t="s">
        <v>3241</v>
      </c>
      <c r="E128" s="2995">
        <v>2538000</v>
      </c>
      <c r="F128" s="2993">
        <f t="shared" si="23"/>
        <v>30000.000000000004</v>
      </c>
    </row>
    <row r="129" spans="1:6" s="2993" customFormat="1">
      <c r="A129" s="3204"/>
      <c r="B129" s="2991" t="s">
        <v>3354</v>
      </c>
      <c r="C129" s="2992">
        <v>45.51</v>
      </c>
      <c r="D129" s="2993" t="s">
        <v>3235</v>
      </c>
      <c r="E129" s="2995">
        <v>420000</v>
      </c>
    </row>
    <row r="130" spans="1:6" s="2993" customFormat="1">
      <c r="A130" s="3204"/>
      <c r="B130" s="2991" t="s">
        <v>3355</v>
      </c>
      <c r="C130" s="2992">
        <v>45.51</v>
      </c>
      <c r="D130" s="2993" t="s">
        <v>3235</v>
      </c>
      <c r="E130" s="2995">
        <v>420000</v>
      </c>
    </row>
    <row r="131" spans="1:6" s="2993" customFormat="1">
      <c r="A131" s="3204">
        <v>28</v>
      </c>
      <c r="B131" s="2991" t="s">
        <v>3356</v>
      </c>
      <c r="C131" s="2992">
        <v>134.83000000000001</v>
      </c>
      <c r="D131" s="2993" t="s">
        <v>3238</v>
      </c>
      <c r="E131" s="2995">
        <v>8014430</v>
      </c>
    </row>
    <row r="132" spans="1:6" s="2993" customFormat="1" ht="24">
      <c r="A132" s="3204"/>
      <c r="B132" s="2991" t="s">
        <v>3357</v>
      </c>
      <c r="C132" s="2992">
        <v>84.99</v>
      </c>
      <c r="D132" s="2993" t="s">
        <v>4487</v>
      </c>
      <c r="E132" s="2995">
        <v>2549700</v>
      </c>
      <c r="F132" s="2993">
        <f t="shared" ref="F132:F133" si="24">E132/C132</f>
        <v>30000</v>
      </c>
    </row>
    <row r="133" spans="1:6" s="2993" customFormat="1">
      <c r="A133" s="3204"/>
      <c r="B133" s="2991" t="s">
        <v>3358</v>
      </c>
      <c r="C133" s="2992">
        <v>84.6</v>
      </c>
      <c r="D133" s="2993" t="s">
        <v>3241</v>
      </c>
      <c r="E133" s="2995">
        <v>2538000</v>
      </c>
      <c r="F133" s="2993">
        <f t="shared" si="24"/>
        <v>30000.000000000004</v>
      </c>
    </row>
    <row r="134" spans="1:6" s="2993" customFormat="1">
      <c r="A134" s="3204"/>
      <c r="B134" s="2991" t="s">
        <v>3359</v>
      </c>
      <c r="C134" s="2992">
        <v>45.51</v>
      </c>
      <c r="D134" s="2993" t="s">
        <v>3235</v>
      </c>
      <c r="E134" s="2995">
        <v>420000</v>
      </c>
    </row>
    <row r="135" spans="1:6" s="2993" customFormat="1">
      <c r="A135" s="3204"/>
      <c r="B135" s="2991" t="s">
        <v>3360</v>
      </c>
      <c r="C135" s="2992">
        <v>45.51</v>
      </c>
      <c r="D135" s="2993" t="s">
        <v>3235</v>
      </c>
      <c r="E135" s="2995">
        <v>420000</v>
      </c>
    </row>
    <row r="136" spans="1:6" s="2993" customFormat="1">
      <c r="A136" s="3204">
        <v>29</v>
      </c>
      <c r="B136" s="2991" t="s">
        <v>3361</v>
      </c>
      <c r="C136" s="2992">
        <v>134.46</v>
      </c>
      <c r="D136" s="2993" t="s">
        <v>3238</v>
      </c>
      <c r="E136" s="2995">
        <v>7992437</v>
      </c>
    </row>
    <row r="137" spans="1:6" s="2993" customFormat="1" ht="24">
      <c r="A137" s="3204"/>
      <c r="B137" s="2991" t="s">
        <v>3362</v>
      </c>
      <c r="C137" s="2992">
        <v>84.77</v>
      </c>
      <c r="D137" s="2993" t="s">
        <v>4487</v>
      </c>
      <c r="E137" s="2995">
        <v>2543100</v>
      </c>
      <c r="F137" s="2993">
        <f t="shared" ref="F137:F138" si="25">E137/C137</f>
        <v>30000</v>
      </c>
    </row>
    <row r="138" spans="1:6" s="2993" customFormat="1">
      <c r="A138" s="3204"/>
      <c r="B138" s="2991" t="s">
        <v>3363</v>
      </c>
      <c r="C138" s="2992">
        <v>84.36</v>
      </c>
      <c r="D138" s="2993" t="s">
        <v>3241</v>
      </c>
      <c r="E138" s="2995">
        <v>2530800</v>
      </c>
      <c r="F138" s="2993">
        <f t="shared" si="25"/>
        <v>30000</v>
      </c>
    </row>
    <row r="139" spans="1:6" s="2993" customFormat="1">
      <c r="A139" s="3204"/>
      <c r="B139" s="2991" t="s">
        <v>3364</v>
      </c>
      <c r="C139" s="2992">
        <v>45.51</v>
      </c>
      <c r="D139" s="2993" t="s">
        <v>3235</v>
      </c>
      <c r="E139" s="2995">
        <v>420000</v>
      </c>
    </row>
    <row r="140" spans="1:6" s="2993" customFormat="1">
      <c r="A140" s="3204"/>
      <c r="B140" s="2991" t="s">
        <v>3365</v>
      </c>
      <c r="C140" s="2992">
        <v>45.51</v>
      </c>
      <c r="D140" s="2993" t="s">
        <v>3235</v>
      </c>
      <c r="E140" s="2995">
        <v>420000</v>
      </c>
    </row>
    <row r="141" spans="1:6" s="2993" customFormat="1">
      <c r="A141" s="3204">
        <v>30</v>
      </c>
      <c r="B141" s="2991" t="s">
        <v>3366</v>
      </c>
      <c r="C141" s="2992">
        <v>134.56</v>
      </c>
      <c r="D141" s="2993" t="s">
        <v>3238</v>
      </c>
      <c r="E141" s="2995">
        <v>8341510</v>
      </c>
    </row>
    <row r="142" spans="1:6" s="2993" customFormat="1" ht="24">
      <c r="A142" s="3204"/>
      <c r="B142" s="2991" t="s">
        <v>3367</v>
      </c>
      <c r="C142" s="2992">
        <v>84.54</v>
      </c>
      <c r="D142" s="2993" t="s">
        <v>4487</v>
      </c>
      <c r="E142" s="2995">
        <v>2536200</v>
      </c>
      <c r="F142" s="2993">
        <f t="shared" ref="F142:F143" si="26">E142/C142</f>
        <v>29999.999999999996</v>
      </c>
    </row>
    <row r="143" spans="1:6" s="2993" customFormat="1">
      <c r="A143" s="3204"/>
      <c r="B143" s="2991" t="s">
        <v>3368</v>
      </c>
      <c r="C143" s="2992">
        <v>83.59</v>
      </c>
      <c r="D143" s="2993" t="s">
        <v>3252</v>
      </c>
      <c r="E143" s="2995">
        <v>2507700</v>
      </c>
      <c r="F143" s="2993">
        <f t="shared" si="26"/>
        <v>30000</v>
      </c>
    </row>
    <row r="144" spans="1:6" s="2993" customFormat="1">
      <c r="A144" s="3204"/>
      <c r="B144" s="2991" t="s">
        <v>3369</v>
      </c>
      <c r="C144" s="2992">
        <v>45.51</v>
      </c>
      <c r="D144" s="2993" t="s">
        <v>3254</v>
      </c>
      <c r="E144" s="2995">
        <v>420000</v>
      </c>
    </row>
    <row r="145" spans="1:6" s="2993" customFormat="1">
      <c r="A145" s="3204"/>
      <c r="B145" s="2991" t="s">
        <v>3370</v>
      </c>
      <c r="C145" s="2992">
        <v>45.51</v>
      </c>
      <c r="D145" s="2993" t="s">
        <v>3254</v>
      </c>
      <c r="E145" s="2995">
        <v>420000</v>
      </c>
    </row>
    <row r="146" spans="1:6" s="2993" customFormat="1">
      <c r="A146" s="3204">
        <v>31</v>
      </c>
      <c r="B146" s="2991" t="s">
        <v>3371</v>
      </c>
      <c r="C146" s="2992">
        <v>134.75</v>
      </c>
      <c r="D146" s="2993" t="s">
        <v>3257</v>
      </c>
      <c r="E146" s="2995">
        <v>7942213</v>
      </c>
    </row>
    <row r="147" spans="1:6" s="2993" customFormat="1" ht="24">
      <c r="A147" s="3204"/>
      <c r="B147" s="2991" t="s">
        <v>3372</v>
      </c>
      <c r="C147" s="2992">
        <v>84.95</v>
      </c>
      <c r="D147" s="2993" t="s">
        <v>4487</v>
      </c>
      <c r="E147" s="2995">
        <v>2548500</v>
      </c>
      <c r="F147" s="2993">
        <f t="shared" ref="F147:F148" si="27">E147/C147</f>
        <v>30000</v>
      </c>
    </row>
    <row r="148" spans="1:6" s="2993" customFormat="1">
      <c r="A148" s="3204"/>
      <c r="B148" s="2991" t="s">
        <v>3373</v>
      </c>
      <c r="C148" s="2992">
        <v>84.31</v>
      </c>
      <c r="D148" s="2993" t="s">
        <v>3252</v>
      </c>
      <c r="E148" s="2995">
        <v>2529300</v>
      </c>
      <c r="F148" s="2993">
        <f t="shared" si="27"/>
        <v>30000</v>
      </c>
    </row>
    <row r="149" spans="1:6" s="2993" customFormat="1">
      <c r="A149" s="3204"/>
      <c r="B149" s="2991" t="s">
        <v>3374</v>
      </c>
      <c r="C149" s="2992">
        <v>45.51</v>
      </c>
      <c r="D149" s="2993" t="s">
        <v>3254</v>
      </c>
      <c r="E149" s="2995">
        <v>420000</v>
      </c>
    </row>
    <row r="150" spans="1:6" s="2993" customFormat="1">
      <c r="A150" s="3204"/>
      <c r="B150" s="2991" t="s">
        <v>3375</v>
      </c>
      <c r="C150" s="2992">
        <v>45.51</v>
      </c>
      <c r="D150" s="2993" t="s">
        <v>3254</v>
      </c>
      <c r="E150" s="2995">
        <v>420000</v>
      </c>
    </row>
    <row r="151" spans="1:6" s="2993" customFormat="1">
      <c r="A151" s="3204">
        <v>32</v>
      </c>
      <c r="B151" s="2991" t="s">
        <v>3376</v>
      </c>
      <c r="C151" s="2992">
        <v>134.75</v>
      </c>
      <c r="D151" s="2993" t="s">
        <v>3257</v>
      </c>
      <c r="E151" s="2995">
        <v>8110898</v>
      </c>
    </row>
    <row r="152" spans="1:6" s="2993" customFormat="1" ht="24">
      <c r="A152" s="3204"/>
      <c r="B152" s="2991" t="s">
        <v>3377</v>
      </c>
      <c r="C152" s="2992">
        <v>84.95</v>
      </c>
      <c r="D152" s="2993" t="s">
        <v>4487</v>
      </c>
      <c r="E152" s="2995">
        <v>2548500</v>
      </c>
      <c r="F152" s="2993">
        <f t="shared" ref="F152:F153" si="28">E152/C152</f>
        <v>30000</v>
      </c>
    </row>
    <row r="153" spans="1:6" s="2993" customFormat="1">
      <c r="A153" s="3204"/>
      <c r="B153" s="2991" t="s">
        <v>3378</v>
      </c>
      <c r="C153" s="2992">
        <v>84.31</v>
      </c>
      <c r="D153" s="2993" t="s">
        <v>3379</v>
      </c>
      <c r="E153" s="2995">
        <v>2529300</v>
      </c>
      <c r="F153" s="2993">
        <f t="shared" si="28"/>
        <v>30000</v>
      </c>
    </row>
    <row r="154" spans="1:6" s="2993" customFormat="1">
      <c r="A154" s="3204"/>
      <c r="B154" s="2991" t="s">
        <v>3380</v>
      </c>
      <c r="C154" s="2992">
        <v>45.51</v>
      </c>
      <c r="D154" s="2993" t="s">
        <v>3381</v>
      </c>
      <c r="E154" s="2995">
        <v>420000</v>
      </c>
    </row>
    <row r="155" spans="1:6" s="2993" customFormat="1">
      <c r="A155" s="3204"/>
      <c r="B155" s="2991" t="s">
        <v>3382</v>
      </c>
      <c r="C155" s="2992">
        <v>45.51</v>
      </c>
      <c r="D155" s="2993" t="s">
        <v>3381</v>
      </c>
      <c r="E155" s="2995">
        <v>420000</v>
      </c>
    </row>
    <row r="156" spans="1:6" s="2993" customFormat="1">
      <c r="A156" s="3204">
        <v>33</v>
      </c>
      <c r="B156" s="2991" t="s">
        <v>3383</v>
      </c>
      <c r="C156" s="2992">
        <v>134.63999999999999</v>
      </c>
      <c r="D156" s="2993" t="s">
        <v>3384</v>
      </c>
      <c r="E156" s="2995">
        <v>8346460</v>
      </c>
    </row>
    <row r="157" spans="1:6" s="2993" customFormat="1" ht="24">
      <c r="A157" s="3204"/>
      <c r="B157" s="2991" t="s">
        <v>3385</v>
      </c>
      <c r="C157" s="2992">
        <v>84.58</v>
      </c>
      <c r="D157" s="2993" t="s">
        <v>4487</v>
      </c>
      <c r="E157" s="2995">
        <v>2537400</v>
      </c>
      <c r="F157" s="2993">
        <f t="shared" ref="F157:F158" si="29">E157/C157</f>
        <v>30000</v>
      </c>
    </row>
    <row r="158" spans="1:6" s="2993" customFormat="1">
      <c r="A158" s="3204"/>
      <c r="B158" s="2991" t="s">
        <v>3386</v>
      </c>
      <c r="C158" s="2992">
        <v>83.6</v>
      </c>
      <c r="D158" s="2993" t="s">
        <v>3379</v>
      </c>
      <c r="E158" s="2995">
        <v>2508000</v>
      </c>
      <c r="F158" s="2993">
        <f t="shared" si="29"/>
        <v>30000.000000000004</v>
      </c>
    </row>
    <row r="159" spans="1:6" s="2993" customFormat="1">
      <c r="A159" s="3204"/>
      <c r="B159" s="2991" t="s">
        <v>3387</v>
      </c>
      <c r="C159" s="2992">
        <v>45.51</v>
      </c>
      <c r="D159" s="2993" t="s">
        <v>3381</v>
      </c>
      <c r="E159" s="2995">
        <v>420000</v>
      </c>
    </row>
    <row r="160" spans="1:6" s="2993" customFormat="1">
      <c r="A160" s="3204"/>
      <c r="B160" s="2991" t="s">
        <v>3388</v>
      </c>
      <c r="C160" s="2992">
        <v>45.51</v>
      </c>
      <c r="D160" s="2993" t="s">
        <v>3381</v>
      </c>
      <c r="E160" s="2995">
        <v>420000</v>
      </c>
    </row>
    <row r="161" spans="1:6" s="2993" customFormat="1">
      <c r="A161" s="3204">
        <v>34</v>
      </c>
      <c r="B161" s="2991" t="s">
        <v>3389</v>
      </c>
      <c r="C161" s="2992">
        <v>134.27000000000001</v>
      </c>
      <c r="D161" s="2993" t="s">
        <v>3384</v>
      </c>
      <c r="E161" s="2995">
        <v>7429342</v>
      </c>
    </row>
    <row r="162" spans="1:6" s="2993" customFormat="1" ht="24">
      <c r="A162" s="3204"/>
      <c r="B162" s="2991" t="s">
        <v>3390</v>
      </c>
      <c r="C162" s="2992">
        <v>84.5</v>
      </c>
      <c r="D162" s="2993" t="s">
        <v>4487</v>
      </c>
      <c r="E162" s="2995">
        <v>2535000</v>
      </c>
      <c r="F162" s="2993">
        <f t="shared" ref="F162:F163" si="30">E162/C162</f>
        <v>30000</v>
      </c>
    </row>
    <row r="163" spans="1:6" s="2993" customFormat="1">
      <c r="A163" s="3204"/>
      <c r="B163" s="2991" t="s">
        <v>3391</v>
      </c>
      <c r="C163" s="2992">
        <v>84.36</v>
      </c>
      <c r="D163" s="2993" t="s">
        <v>3379</v>
      </c>
      <c r="E163" s="2995">
        <v>2530800</v>
      </c>
      <c r="F163" s="2993">
        <f t="shared" si="30"/>
        <v>30000</v>
      </c>
    </row>
    <row r="164" spans="1:6" s="2993" customFormat="1">
      <c r="A164" s="3204"/>
      <c r="B164" s="2991" t="s">
        <v>3392</v>
      </c>
      <c r="C164" s="2992">
        <v>45.51</v>
      </c>
      <c r="D164" s="2993" t="s">
        <v>3381</v>
      </c>
      <c r="E164" s="2995">
        <v>420000</v>
      </c>
    </row>
    <row r="165" spans="1:6" s="2993" customFormat="1">
      <c r="A165" s="3204"/>
      <c r="B165" s="2991" t="s">
        <v>3393</v>
      </c>
      <c r="C165" s="2992">
        <v>45.51</v>
      </c>
      <c r="D165" s="2993" t="s">
        <v>3381</v>
      </c>
      <c r="E165" s="2995">
        <v>420000</v>
      </c>
    </row>
    <row r="166" spans="1:6" s="2993" customFormat="1">
      <c r="A166" s="3204">
        <v>35</v>
      </c>
      <c r="B166" s="2991" t="s">
        <v>3394</v>
      </c>
      <c r="C166" s="2992">
        <v>134.27000000000001</v>
      </c>
      <c r="D166" s="2993" t="s">
        <v>3384</v>
      </c>
      <c r="E166" s="2995">
        <v>7597503</v>
      </c>
    </row>
    <row r="167" spans="1:6" s="2993" customFormat="1" ht="24">
      <c r="A167" s="3204"/>
      <c r="B167" s="2991" t="s">
        <v>3395</v>
      </c>
      <c r="C167" s="2992">
        <v>84.5</v>
      </c>
      <c r="D167" s="2993" t="s">
        <v>4487</v>
      </c>
      <c r="E167" s="2995">
        <v>2535000</v>
      </c>
      <c r="F167" s="2993">
        <f t="shared" ref="F167:F168" si="31">E167/C167</f>
        <v>30000</v>
      </c>
    </row>
    <row r="168" spans="1:6" s="2993" customFormat="1">
      <c r="A168" s="3204"/>
      <c r="B168" s="2991" t="s">
        <v>3396</v>
      </c>
      <c r="C168" s="2992">
        <v>84.36</v>
      </c>
      <c r="D168" s="2993" t="s">
        <v>3379</v>
      </c>
      <c r="E168" s="2995">
        <v>2530800</v>
      </c>
      <c r="F168" s="2993">
        <f t="shared" si="31"/>
        <v>30000</v>
      </c>
    </row>
    <row r="169" spans="1:6" s="2993" customFormat="1">
      <c r="A169" s="3204"/>
      <c r="B169" s="2991" t="s">
        <v>3397</v>
      </c>
      <c r="C169" s="2992">
        <v>45.51</v>
      </c>
      <c r="D169" s="2993" t="s">
        <v>3381</v>
      </c>
      <c r="E169" s="2995">
        <v>420000</v>
      </c>
    </row>
    <row r="170" spans="1:6" s="2993" customFormat="1">
      <c r="A170" s="3204"/>
      <c r="B170" s="2991" t="s">
        <v>3398</v>
      </c>
      <c r="C170" s="2992">
        <v>45.51</v>
      </c>
      <c r="D170" s="2993" t="s">
        <v>3381</v>
      </c>
      <c r="E170" s="2995">
        <v>420000</v>
      </c>
    </row>
    <row r="171" spans="1:6" s="2993" customFormat="1">
      <c r="A171" s="3204">
        <v>36</v>
      </c>
      <c r="B171" s="2991" t="s">
        <v>3399</v>
      </c>
      <c r="C171" s="2992">
        <v>134.47</v>
      </c>
      <c r="D171" s="2993" t="s">
        <v>3384</v>
      </c>
      <c r="E171" s="2995">
        <v>7993032</v>
      </c>
    </row>
    <row r="172" spans="1:6" s="2993" customFormat="1" ht="24">
      <c r="A172" s="3204"/>
      <c r="B172" s="2991" t="s">
        <v>3400</v>
      </c>
      <c r="C172" s="2992">
        <v>84.77</v>
      </c>
      <c r="D172" s="2993" t="s">
        <v>4487</v>
      </c>
      <c r="E172" s="2995">
        <v>2543100</v>
      </c>
      <c r="F172" s="2993">
        <f t="shared" ref="F172:F173" si="32">E172/C172</f>
        <v>30000</v>
      </c>
    </row>
    <row r="173" spans="1:6" s="2993" customFormat="1">
      <c r="A173" s="3204"/>
      <c r="B173" s="2991" t="s">
        <v>3401</v>
      </c>
      <c r="C173" s="2992">
        <v>84.36</v>
      </c>
      <c r="D173" s="2993" t="s">
        <v>3241</v>
      </c>
      <c r="E173" s="2995">
        <v>2530800</v>
      </c>
      <c r="F173" s="2993">
        <f t="shared" si="32"/>
        <v>30000</v>
      </c>
    </row>
    <row r="174" spans="1:6" s="2993" customFormat="1">
      <c r="A174" s="3204"/>
      <c r="B174" s="2991" t="s">
        <v>3402</v>
      </c>
      <c r="C174" s="2992">
        <v>45.51</v>
      </c>
      <c r="D174" s="2993" t="s">
        <v>3235</v>
      </c>
      <c r="E174" s="2995">
        <v>420000</v>
      </c>
    </row>
    <row r="175" spans="1:6" s="2993" customFormat="1">
      <c r="A175" s="3204"/>
      <c r="B175" s="2991" t="s">
        <v>3403</v>
      </c>
      <c r="C175" s="2992">
        <v>45.51</v>
      </c>
      <c r="D175" s="2993" t="s">
        <v>3235</v>
      </c>
      <c r="E175" s="2995">
        <v>420000</v>
      </c>
    </row>
    <row r="176" spans="1:6" s="2993" customFormat="1">
      <c r="A176" s="3204">
        <v>37</v>
      </c>
      <c r="B176" s="2991" t="s">
        <v>3404</v>
      </c>
      <c r="C176" s="2992">
        <v>134.29</v>
      </c>
      <c r="D176" s="2993" t="s">
        <v>3238</v>
      </c>
      <c r="E176" s="2995">
        <v>7430472</v>
      </c>
    </row>
    <row r="177" spans="1:6" s="2993" customFormat="1" ht="24">
      <c r="A177" s="3204"/>
      <c r="B177" s="2991" t="s">
        <v>3405</v>
      </c>
      <c r="C177" s="2992">
        <v>84.51</v>
      </c>
      <c r="D177" s="2993" t="s">
        <v>4487</v>
      </c>
      <c r="E177" s="2995">
        <v>2535300</v>
      </c>
      <c r="F177" s="2993">
        <f t="shared" ref="F177:F178" si="33">E177/C177</f>
        <v>30000</v>
      </c>
    </row>
    <row r="178" spans="1:6" s="2993" customFormat="1">
      <c r="A178" s="3204"/>
      <c r="B178" s="2991" t="s">
        <v>3406</v>
      </c>
      <c r="C178" s="2992">
        <v>84.36</v>
      </c>
      <c r="D178" s="2993" t="s">
        <v>3241</v>
      </c>
      <c r="E178" s="2995">
        <v>2530800</v>
      </c>
      <c r="F178" s="2993">
        <f t="shared" si="33"/>
        <v>30000</v>
      </c>
    </row>
    <row r="179" spans="1:6" s="2993" customFormat="1">
      <c r="A179" s="3204"/>
      <c r="B179" s="2991" t="s">
        <v>3407</v>
      </c>
      <c r="C179" s="2992">
        <v>45.51</v>
      </c>
      <c r="D179" s="2993" t="s">
        <v>3235</v>
      </c>
      <c r="E179" s="2995">
        <v>420000</v>
      </c>
    </row>
    <row r="180" spans="1:6" s="2993" customFormat="1">
      <c r="A180" s="3204"/>
      <c r="B180" s="2991" t="s">
        <v>3408</v>
      </c>
      <c r="C180" s="2992">
        <v>45.51</v>
      </c>
      <c r="D180" s="2993" t="s">
        <v>3235</v>
      </c>
      <c r="E180" s="2995">
        <v>420000</v>
      </c>
    </row>
    <row r="181" spans="1:6" s="2993" customFormat="1">
      <c r="A181" s="3204">
        <v>38</v>
      </c>
      <c r="B181" s="2991" t="s">
        <v>3409</v>
      </c>
      <c r="C181" s="2992">
        <v>134.49</v>
      </c>
      <c r="D181" s="2993" t="s">
        <v>3238</v>
      </c>
      <c r="E181" s="2995">
        <v>7825783</v>
      </c>
    </row>
    <row r="182" spans="1:6" s="2993" customFormat="1" ht="24">
      <c r="A182" s="3204"/>
      <c r="B182" s="2991" t="s">
        <v>3410</v>
      </c>
      <c r="C182" s="2992">
        <v>84.78</v>
      </c>
      <c r="D182" s="2993" t="s">
        <v>4487</v>
      </c>
      <c r="E182" s="2995">
        <v>2543400</v>
      </c>
      <c r="F182" s="2993">
        <f t="shared" ref="F182:F183" si="34">E182/C182</f>
        <v>30000</v>
      </c>
    </row>
    <row r="183" spans="1:6" s="2993" customFormat="1">
      <c r="A183" s="3204"/>
      <c r="B183" s="2991" t="s">
        <v>3411</v>
      </c>
      <c r="C183" s="2992">
        <v>84.36</v>
      </c>
      <c r="D183" s="2993" t="s">
        <v>3241</v>
      </c>
      <c r="E183" s="2995">
        <v>2530800</v>
      </c>
      <c r="F183" s="2993">
        <f t="shared" si="34"/>
        <v>30000</v>
      </c>
    </row>
    <row r="184" spans="1:6" s="2993" customFormat="1">
      <c r="A184" s="3204"/>
      <c r="B184" s="2991" t="s">
        <v>3412</v>
      </c>
      <c r="C184" s="2992">
        <v>45.51</v>
      </c>
      <c r="D184" s="2993" t="s">
        <v>3235</v>
      </c>
      <c r="E184" s="2995">
        <v>420000</v>
      </c>
    </row>
    <row r="185" spans="1:6" s="2993" customFormat="1">
      <c r="A185" s="3204"/>
      <c r="B185" s="2991" t="s">
        <v>3413</v>
      </c>
      <c r="C185" s="2992">
        <v>45.51</v>
      </c>
      <c r="D185" s="2993" t="s">
        <v>3235</v>
      </c>
      <c r="E185" s="2995">
        <v>420000</v>
      </c>
    </row>
    <row r="186" spans="1:6" s="2993" customFormat="1">
      <c r="A186" s="3204">
        <v>39</v>
      </c>
      <c r="B186" s="2991" t="s">
        <v>3414</v>
      </c>
      <c r="C186" s="2992">
        <v>134.49</v>
      </c>
      <c r="D186" s="2993" t="s">
        <v>3238</v>
      </c>
      <c r="E186" s="2995">
        <v>7994221</v>
      </c>
    </row>
    <row r="187" spans="1:6" s="2993" customFormat="1" ht="24">
      <c r="A187" s="3204"/>
      <c r="B187" s="2991" t="s">
        <v>3415</v>
      </c>
      <c r="C187" s="2992">
        <v>84.78</v>
      </c>
      <c r="D187" s="2993" t="s">
        <v>4487</v>
      </c>
      <c r="E187" s="2995">
        <v>2543400</v>
      </c>
      <c r="F187" s="2993">
        <f t="shared" ref="F187:F188" si="35">E187/C187</f>
        <v>30000</v>
      </c>
    </row>
    <row r="188" spans="1:6" s="2993" customFormat="1">
      <c r="A188" s="3204"/>
      <c r="B188" s="2991" t="s">
        <v>3416</v>
      </c>
      <c r="C188" s="2992">
        <v>84.36</v>
      </c>
      <c r="D188" s="2993" t="s">
        <v>3241</v>
      </c>
      <c r="E188" s="2995">
        <v>2530800</v>
      </c>
      <c r="F188" s="2993">
        <f t="shared" si="35"/>
        <v>30000</v>
      </c>
    </row>
    <row r="189" spans="1:6" s="2993" customFormat="1">
      <c r="A189" s="3204"/>
      <c r="B189" s="2991" t="s">
        <v>3417</v>
      </c>
      <c r="C189" s="2992">
        <v>45.51</v>
      </c>
      <c r="D189" s="2993" t="s">
        <v>3235</v>
      </c>
      <c r="E189" s="2995">
        <v>420000</v>
      </c>
    </row>
    <row r="190" spans="1:6" s="2993" customFormat="1">
      <c r="A190" s="3204"/>
      <c r="B190" s="2991" t="s">
        <v>3418</v>
      </c>
      <c r="C190" s="2992">
        <v>45.51</v>
      </c>
      <c r="D190" s="2993" t="s">
        <v>3235</v>
      </c>
      <c r="E190" s="2995">
        <v>420000</v>
      </c>
    </row>
    <row r="191" spans="1:6" s="2993" customFormat="1">
      <c r="A191" s="3204">
        <v>40</v>
      </c>
      <c r="B191" s="2991" t="s">
        <v>3419</v>
      </c>
      <c r="C191" s="2992">
        <v>134.83000000000001</v>
      </c>
      <c r="D191" s="2993" t="s">
        <v>3238</v>
      </c>
      <c r="E191" s="2995">
        <v>7946936</v>
      </c>
    </row>
    <row r="192" spans="1:6" s="2993" customFormat="1" ht="24">
      <c r="A192" s="3204"/>
      <c r="B192" s="2991" t="s">
        <v>3420</v>
      </c>
      <c r="C192" s="2992">
        <v>85</v>
      </c>
      <c r="D192" s="2993" t="s">
        <v>4487</v>
      </c>
      <c r="E192" s="2995">
        <v>2550000</v>
      </c>
      <c r="F192" s="2993">
        <f t="shared" ref="F192:F193" si="36">E192/C192</f>
        <v>30000</v>
      </c>
    </row>
    <row r="193" spans="1:6" s="2993" customFormat="1">
      <c r="A193" s="3204"/>
      <c r="B193" s="2991" t="s">
        <v>3421</v>
      </c>
      <c r="C193" s="2992">
        <v>84.32</v>
      </c>
      <c r="D193" s="2993" t="s">
        <v>3241</v>
      </c>
      <c r="E193" s="2995">
        <v>2529600</v>
      </c>
      <c r="F193" s="2993">
        <f t="shared" si="36"/>
        <v>30000.000000000004</v>
      </c>
    </row>
    <row r="194" spans="1:6" s="2993" customFormat="1">
      <c r="A194" s="3204"/>
      <c r="B194" s="2991" t="s">
        <v>3422</v>
      </c>
      <c r="C194" s="2992">
        <v>45.51</v>
      </c>
      <c r="D194" s="2993" t="s">
        <v>3235</v>
      </c>
      <c r="E194" s="2995">
        <v>420000</v>
      </c>
    </row>
    <row r="195" spans="1:6" s="2993" customFormat="1">
      <c r="A195" s="3204"/>
      <c r="B195" s="2991" t="s">
        <v>3423</v>
      </c>
      <c r="C195" s="2992">
        <v>45.51</v>
      </c>
      <c r="D195" s="2993" t="s">
        <v>3235</v>
      </c>
      <c r="E195" s="2995">
        <v>420000</v>
      </c>
    </row>
    <row r="196" spans="1:6" s="2993" customFormat="1">
      <c r="A196" s="3204">
        <v>41</v>
      </c>
      <c r="B196" s="2991" t="s">
        <v>3424</v>
      </c>
      <c r="C196" s="2992">
        <v>134.83000000000001</v>
      </c>
      <c r="D196" s="2993" t="s">
        <v>3238</v>
      </c>
      <c r="E196" s="2995">
        <v>8115706</v>
      </c>
    </row>
    <row r="197" spans="1:6" s="2993" customFormat="1" ht="24">
      <c r="A197" s="3204"/>
      <c r="B197" s="2991" t="s">
        <v>3425</v>
      </c>
      <c r="C197" s="2992">
        <v>85</v>
      </c>
      <c r="D197" s="2993" t="s">
        <v>4487</v>
      </c>
      <c r="E197" s="2995">
        <v>2550000</v>
      </c>
      <c r="F197" s="2993">
        <f t="shared" ref="F197:F198" si="37">E197/C197</f>
        <v>30000</v>
      </c>
    </row>
    <row r="198" spans="1:6" s="2993" customFormat="1">
      <c r="A198" s="3204"/>
      <c r="B198" s="2991" t="s">
        <v>3426</v>
      </c>
      <c r="C198" s="2992">
        <v>84.32</v>
      </c>
      <c r="D198" s="2993" t="s">
        <v>3241</v>
      </c>
      <c r="E198" s="2995">
        <v>2529600</v>
      </c>
      <c r="F198" s="2993">
        <f t="shared" si="37"/>
        <v>30000.000000000004</v>
      </c>
    </row>
    <row r="199" spans="1:6" s="2993" customFormat="1">
      <c r="A199" s="3204"/>
      <c r="B199" s="2991" t="s">
        <v>3427</v>
      </c>
      <c r="C199" s="2992">
        <v>45.51</v>
      </c>
      <c r="D199" s="2993" t="s">
        <v>3235</v>
      </c>
      <c r="E199" s="2995">
        <v>420000</v>
      </c>
    </row>
    <row r="200" spans="1:6" s="2993" customFormat="1">
      <c r="A200" s="3204"/>
      <c r="B200" s="2991" t="s">
        <v>3428</v>
      </c>
      <c r="C200" s="2992">
        <v>45.51</v>
      </c>
      <c r="D200" s="2993" t="s">
        <v>3235</v>
      </c>
      <c r="E200" s="2995">
        <v>420000</v>
      </c>
    </row>
    <row r="201" spans="1:6" s="2993" customFormat="1">
      <c r="A201" s="3204">
        <v>42</v>
      </c>
      <c r="B201" s="2991" t="s">
        <v>3429</v>
      </c>
      <c r="C201" s="2992">
        <v>178.29</v>
      </c>
      <c r="D201" s="2993" t="s">
        <v>3238</v>
      </c>
      <c r="E201" s="2995">
        <v>11322841</v>
      </c>
    </row>
    <row r="202" spans="1:6" s="2993" customFormat="1" ht="24">
      <c r="A202" s="3204"/>
      <c r="B202" s="2991" t="s">
        <v>3430</v>
      </c>
      <c r="C202" s="2992">
        <v>114.55</v>
      </c>
      <c r="D202" s="2993" t="s">
        <v>4487</v>
      </c>
      <c r="E202" s="2995">
        <v>3436500</v>
      </c>
      <c r="F202" s="2993">
        <f t="shared" ref="F202:F203" si="38">E202/C202</f>
        <v>30000</v>
      </c>
    </row>
    <row r="203" spans="1:6" s="2993" customFormat="1">
      <c r="A203" s="3204"/>
      <c r="B203" s="2991" t="s">
        <v>3431</v>
      </c>
      <c r="C203" s="2992">
        <v>114.12</v>
      </c>
      <c r="D203" s="2993" t="s">
        <v>3241</v>
      </c>
      <c r="E203" s="2995">
        <v>3423600</v>
      </c>
      <c r="F203" s="2993">
        <f t="shared" si="38"/>
        <v>30000</v>
      </c>
    </row>
    <row r="204" spans="1:6" s="2993" customFormat="1">
      <c r="A204" s="3204"/>
      <c r="B204" s="2991" t="s">
        <v>3432</v>
      </c>
      <c r="C204" s="2992">
        <v>45.51</v>
      </c>
      <c r="D204" s="2993" t="s">
        <v>3235</v>
      </c>
      <c r="E204" s="2995">
        <v>420000</v>
      </c>
    </row>
    <row r="205" spans="1:6" s="2993" customFormat="1">
      <c r="A205" s="3204"/>
      <c r="B205" s="2991" t="s">
        <v>3433</v>
      </c>
      <c r="C205" s="2992">
        <v>45.51</v>
      </c>
      <c r="D205" s="2993" t="s">
        <v>3235</v>
      </c>
      <c r="E205" s="2995">
        <v>420000</v>
      </c>
    </row>
    <row r="206" spans="1:6" s="2993" customFormat="1">
      <c r="A206" s="3204">
        <v>43</v>
      </c>
      <c r="B206" s="2991" t="s">
        <v>3434</v>
      </c>
      <c r="C206" s="2992">
        <v>134.36000000000001</v>
      </c>
      <c r="D206" s="2993" t="s">
        <v>3238</v>
      </c>
      <c r="E206" s="2995">
        <v>7919210</v>
      </c>
    </row>
    <row r="207" spans="1:6" s="2993" customFormat="1" ht="24">
      <c r="A207" s="3204"/>
      <c r="B207" s="2991" t="s">
        <v>3435</v>
      </c>
      <c r="C207" s="2992">
        <v>84.7</v>
      </c>
      <c r="D207" s="2993" t="s">
        <v>4487</v>
      </c>
      <c r="E207" s="2995">
        <v>2541000</v>
      </c>
      <c r="F207" s="2993">
        <f t="shared" ref="F207:F208" si="39">E207/C207</f>
        <v>30000</v>
      </c>
    </row>
    <row r="208" spans="1:6" s="2993" customFormat="1">
      <c r="A208" s="3204"/>
      <c r="B208" s="2991" t="s">
        <v>3436</v>
      </c>
      <c r="C208" s="2992">
        <v>84.15</v>
      </c>
      <c r="D208" s="2993" t="s">
        <v>3379</v>
      </c>
      <c r="E208" s="2995">
        <v>2524500</v>
      </c>
      <c r="F208" s="2993">
        <f t="shared" si="39"/>
        <v>29999.999999999996</v>
      </c>
    </row>
    <row r="209" spans="1:6" s="2993" customFormat="1">
      <c r="A209" s="3204"/>
      <c r="B209" s="2991" t="s">
        <v>3437</v>
      </c>
      <c r="C209" s="2992">
        <v>45.51</v>
      </c>
      <c r="D209" s="2993" t="s">
        <v>3381</v>
      </c>
      <c r="E209" s="2995">
        <v>420000</v>
      </c>
    </row>
    <row r="210" spans="1:6" s="2993" customFormat="1">
      <c r="A210" s="3204"/>
      <c r="B210" s="2991" t="s">
        <v>3438</v>
      </c>
      <c r="C210" s="2992">
        <v>45.51</v>
      </c>
      <c r="D210" s="2993" t="s">
        <v>3381</v>
      </c>
      <c r="E210" s="2995">
        <v>420000</v>
      </c>
    </row>
    <row r="211" spans="1:6" s="2993" customFormat="1">
      <c r="A211" s="3204">
        <v>44</v>
      </c>
      <c r="B211" s="2991" t="s">
        <v>3439</v>
      </c>
      <c r="C211" s="2992">
        <v>134.18</v>
      </c>
      <c r="D211" s="2993" t="s">
        <v>3384</v>
      </c>
      <c r="E211" s="2995">
        <v>8485615</v>
      </c>
    </row>
    <row r="212" spans="1:6" s="2993" customFormat="1" ht="24">
      <c r="A212" s="3204"/>
      <c r="B212" s="2991" t="s">
        <v>3440</v>
      </c>
      <c r="C212" s="2992">
        <v>84.28</v>
      </c>
      <c r="D212" s="2993" t="s">
        <v>4487</v>
      </c>
      <c r="E212" s="2995">
        <v>2528400</v>
      </c>
      <c r="F212" s="2993">
        <f t="shared" ref="F212:F213" si="40">E212/C212</f>
        <v>30000</v>
      </c>
    </row>
    <row r="213" spans="1:6" s="2993" customFormat="1">
      <c r="A213" s="3204"/>
      <c r="B213" s="2991" t="s">
        <v>3441</v>
      </c>
      <c r="C213" s="2992">
        <v>83.43</v>
      </c>
      <c r="D213" s="2993" t="s">
        <v>3379</v>
      </c>
      <c r="E213" s="2995">
        <v>2502900</v>
      </c>
      <c r="F213" s="2993">
        <f t="shared" si="40"/>
        <v>29999.999999999996</v>
      </c>
    </row>
    <row r="214" spans="1:6" s="2993" customFormat="1">
      <c r="A214" s="3204"/>
      <c r="B214" s="2991" t="s">
        <v>3442</v>
      </c>
      <c r="C214" s="2992">
        <v>45.51</v>
      </c>
      <c r="D214" s="2993" t="s">
        <v>3381</v>
      </c>
      <c r="E214" s="2995">
        <v>420000</v>
      </c>
    </row>
    <row r="215" spans="1:6" s="2993" customFormat="1">
      <c r="A215" s="3204"/>
      <c r="B215" s="2991" t="s">
        <v>3443</v>
      </c>
      <c r="C215" s="2992">
        <v>45.51</v>
      </c>
      <c r="D215" s="2993" t="s">
        <v>3235</v>
      </c>
      <c r="E215" s="2995">
        <v>420000</v>
      </c>
    </row>
    <row r="216" spans="1:6" s="2993" customFormat="1">
      <c r="A216" s="3204">
        <v>45</v>
      </c>
      <c r="B216" s="2991" t="s">
        <v>3444</v>
      </c>
      <c r="C216" s="2992">
        <v>134.16999999999999</v>
      </c>
      <c r="D216" s="2993" t="s">
        <v>3238</v>
      </c>
      <c r="E216" s="2995">
        <v>7692826</v>
      </c>
    </row>
    <row r="217" spans="1:6" s="2993" customFormat="1" ht="24">
      <c r="A217" s="3204"/>
      <c r="B217" s="2991" t="s">
        <v>3445</v>
      </c>
      <c r="C217" s="2992">
        <v>84.42</v>
      </c>
      <c r="D217" s="2993" t="s">
        <v>4487</v>
      </c>
      <c r="E217" s="2995">
        <v>2532600</v>
      </c>
      <c r="F217" s="2993">
        <f t="shared" ref="F217:F218" si="41">E217/C217</f>
        <v>30000</v>
      </c>
    </row>
    <row r="218" spans="1:6" s="2993" customFormat="1">
      <c r="A218" s="3204"/>
      <c r="B218" s="2991" t="s">
        <v>3446</v>
      </c>
      <c r="C218" s="2992">
        <v>84.15</v>
      </c>
      <c r="D218" s="2993" t="s">
        <v>3241</v>
      </c>
      <c r="E218" s="2995">
        <v>2524500</v>
      </c>
      <c r="F218" s="2993">
        <f t="shared" si="41"/>
        <v>29999.999999999996</v>
      </c>
    </row>
    <row r="219" spans="1:6" s="2993" customFormat="1">
      <c r="A219" s="3204"/>
      <c r="B219" s="2991" t="s">
        <v>3447</v>
      </c>
      <c r="C219" s="2992">
        <v>45.51</v>
      </c>
      <c r="D219" s="2993" t="s">
        <v>3235</v>
      </c>
      <c r="E219" s="2995">
        <v>420000</v>
      </c>
    </row>
    <row r="220" spans="1:6" s="2993" customFormat="1">
      <c r="A220" s="3204"/>
      <c r="B220" s="2991" t="s">
        <v>3448</v>
      </c>
      <c r="C220" s="2992">
        <v>45.51</v>
      </c>
      <c r="D220" s="2993" t="s">
        <v>3235</v>
      </c>
      <c r="E220" s="2995">
        <v>420000</v>
      </c>
    </row>
    <row r="221" spans="1:6" s="2993" customFormat="1">
      <c r="A221" s="3204">
        <v>46</v>
      </c>
      <c r="B221" s="2991" t="s">
        <v>3449</v>
      </c>
      <c r="C221" s="2992">
        <v>134.36000000000001</v>
      </c>
      <c r="D221" s="2993" t="s">
        <v>3238</v>
      </c>
      <c r="E221" s="2995">
        <v>8087437</v>
      </c>
    </row>
    <row r="222" spans="1:6" s="2993" customFormat="1" ht="24">
      <c r="A222" s="3204"/>
      <c r="B222" s="2991" t="s">
        <v>3450</v>
      </c>
      <c r="C222" s="2992">
        <v>84.7</v>
      </c>
      <c r="D222" s="2993" t="s">
        <v>4487</v>
      </c>
      <c r="E222" s="2995">
        <v>2541000</v>
      </c>
      <c r="F222" s="2993">
        <f t="shared" ref="F222:F223" si="42">E222/C222</f>
        <v>30000</v>
      </c>
    </row>
    <row r="223" spans="1:6" s="2993" customFormat="1">
      <c r="A223" s="3204"/>
      <c r="B223" s="2991" t="s">
        <v>3451</v>
      </c>
      <c r="C223" s="2992">
        <v>84.15</v>
      </c>
      <c r="D223" s="2993" t="s">
        <v>3241</v>
      </c>
      <c r="E223" s="2995">
        <v>2524500</v>
      </c>
      <c r="F223" s="2993">
        <f t="shared" si="42"/>
        <v>29999.999999999996</v>
      </c>
    </row>
    <row r="224" spans="1:6" s="2993" customFormat="1">
      <c r="A224" s="3204"/>
      <c r="B224" s="2991" t="s">
        <v>3452</v>
      </c>
      <c r="C224" s="2992">
        <v>45.51</v>
      </c>
      <c r="D224" s="2993" t="s">
        <v>3235</v>
      </c>
      <c r="E224" s="2995">
        <v>420000</v>
      </c>
    </row>
    <row r="225" spans="1:6" s="2993" customFormat="1">
      <c r="A225" s="3204"/>
      <c r="B225" s="2991" t="s">
        <v>3453</v>
      </c>
      <c r="C225" s="2992">
        <v>45.51</v>
      </c>
      <c r="D225" s="2993" t="s">
        <v>3235</v>
      </c>
      <c r="E225" s="2995">
        <v>420000</v>
      </c>
    </row>
    <row r="226" spans="1:6" s="2993" customFormat="1">
      <c r="A226" s="3204">
        <v>47</v>
      </c>
      <c r="B226" s="2991" t="s">
        <v>3454</v>
      </c>
      <c r="C226" s="2992">
        <v>134.28</v>
      </c>
      <c r="D226" s="2993" t="s">
        <v>3238</v>
      </c>
      <c r="E226" s="2995">
        <v>7531087</v>
      </c>
    </row>
    <row r="227" spans="1:6" s="2993" customFormat="1" ht="24">
      <c r="A227" s="3204"/>
      <c r="B227" s="2991" t="s">
        <v>3455</v>
      </c>
      <c r="C227" s="2992">
        <v>84.49</v>
      </c>
      <c r="D227" s="2993" t="s">
        <v>4487</v>
      </c>
      <c r="E227" s="2995">
        <v>2534700</v>
      </c>
      <c r="F227" s="2993">
        <f t="shared" ref="F227:F228" si="43">E227/C227</f>
        <v>30000</v>
      </c>
    </row>
    <row r="228" spans="1:6" s="2993" customFormat="1">
      <c r="A228" s="3204"/>
      <c r="B228" s="2991" t="s">
        <v>3456</v>
      </c>
      <c r="C228" s="2992">
        <v>84.17</v>
      </c>
      <c r="D228" s="2993" t="s">
        <v>3241</v>
      </c>
      <c r="E228" s="2995">
        <v>2525100</v>
      </c>
      <c r="F228" s="2993">
        <f t="shared" si="43"/>
        <v>30000</v>
      </c>
    </row>
    <row r="229" spans="1:6" s="2993" customFormat="1">
      <c r="A229" s="3204"/>
      <c r="B229" s="2991" t="s">
        <v>3457</v>
      </c>
      <c r="C229" s="2992">
        <v>45.51</v>
      </c>
      <c r="D229" s="2993" t="s">
        <v>3235</v>
      </c>
      <c r="E229" s="2995">
        <v>420000</v>
      </c>
    </row>
    <row r="230" spans="1:6" s="2993" customFormat="1">
      <c r="A230" s="3204"/>
      <c r="B230" s="2991" t="s">
        <v>3458</v>
      </c>
      <c r="C230" s="2992">
        <v>45.51</v>
      </c>
      <c r="D230" s="2993" t="s">
        <v>3235</v>
      </c>
      <c r="E230" s="2995">
        <v>420000</v>
      </c>
    </row>
    <row r="231" spans="1:6" s="2993" customFormat="1">
      <c r="A231" s="3204">
        <v>48</v>
      </c>
      <c r="B231" s="2991" t="s">
        <v>3459</v>
      </c>
      <c r="C231" s="2992">
        <v>134.47</v>
      </c>
      <c r="D231" s="2993" t="s">
        <v>3238</v>
      </c>
      <c r="E231" s="2995">
        <v>7925703</v>
      </c>
    </row>
    <row r="232" spans="1:6" s="2993" customFormat="1" ht="24">
      <c r="A232" s="3204"/>
      <c r="B232" s="2991" t="s">
        <v>3460</v>
      </c>
      <c r="C232" s="2992">
        <v>84.77</v>
      </c>
      <c r="D232" s="2993" t="s">
        <v>4487</v>
      </c>
      <c r="E232" s="2995">
        <v>2543100</v>
      </c>
      <c r="F232" s="2993">
        <f t="shared" ref="F232:F233" si="44">E232/C232</f>
        <v>30000</v>
      </c>
    </row>
    <row r="233" spans="1:6" s="2993" customFormat="1">
      <c r="A233" s="3204"/>
      <c r="B233" s="2991" t="s">
        <v>3461</v>
      </c>
      <c r="C233" s="2992">
        <v>84.17</v>
      </c>
      <c r="D233" s="2993" t="s">
        <v>3241</v>
      </c>
      <c r="E233" s="2995">
        <v>2525100</v>
      </c>
      <c r="F233" s="2993">
        <f t="shared" si="44"/>
        <v>30000</v>
      </c>
    </row>
    <row r="234" spans="1:6" s="2993" customFormat="1">
      <c r="A234" s="3204"/>
      <c r="B234" s="2991" t="s">
        <v>3462</v>
      </c>
      <c r="C234" s="2992">
        <v>45.51</v>
      </c>
      <c r="D234" s="2993" t="s">
        <v>3235</v>
      </c>
      <c r="E234" s="2995">
        <v>420000</v>
      </c>
    </row>
    <row r="235" spans="1:6" s="2993" customFormat="1">
      <c r="A235" s="3204"/>
      <c r="B235" s="2991" t="s">
        <v>3463</v>
      </c>
      <c r="C235" s="2992">
        <v>45.51</v>
      </c>
      <c r="D235" s="2993" t="s">
        <v>3235</v>
      </c>
      <c r="E235" s="2995">
        <v>420000</v>
      </c>
    </row>
    <row r="236" spans="1:6" s="2993" customFormat="1">
      <c r="A236" s="3204">
        <v>49</v>
      </c>
      <c r="B236" s="2991" t="s">
        <v>3464</v>
      </c>
      <c r="C236" s="2992">
        <v>134.28</v>
      </c>
      <c r="D236" s="2993" t="s">
        <v>3238</v>
      </c>
      <c r="E236" s="2995">
        <v>7699179</v>
      </c>
    </row>
    <row r="237" spans="1:6" s="2993" customFormat="1" ht="24">
      <c r="A237" s="3204"/>
      <c r="B237" s="2991" t="s">
        <v>3465</v>
      </c>
      <c r="C237" s="2992">
        <v>84.49</v>
      </c>
      <c r="D237" s="2993" t="s">
        <v>4487</v>
      </c>
      <c r="E237" s="2995">
        <v>2534700</v>
      </c>
      <c r="F237" s="2993">
        <f t="shared" ref="F237:F238" si="45">E237/C237</f>
        <v>30000</v>
      </c>
    </row>
    <row r="238" spans="1:6" s="2993" customFormat="1">
      <c r="A238" s="3204"/>
      <c r="B238" s="2991" t="s">
        <v>3466</v>
      </c>
      <c r="C238" s="2992">
        <v>84.17</v>
      </c>
      <c r="D238" s="2993" t="s">
        <v>3241</v>
      </c>
      <c r="E238" s="2995">
        <v>2525100</v>
      </c>
      <c r="F238" s="2993">
        <f t="shared" si="45"/>
        <v>30000</v>
      </c>
    </row>
    <row r="239" spans="1:6" s="2993" customFormat="1">
      <c r="A239" s="3204"/>
      <c r="B239" s="2991" t="s">
        <v>3467</v>
      </c>
      <c r="C239" s="2992">
        <v>45.51</v>
      </c>
      <c r="D239" s="2993" t="s">
        <v>3235</v>
      </c>
      <c r="E239" s="2995">
        <v>420000</v>
      </c>
    </row>
    <row r="240" spans="1:6" s="2993" customFormat="1">
      <c r="A240" s="3204"/>
      <c r="B240" s="2991" t="s">
        <v>3468</v>
      </c>
      <c r="C240" s="2992">
        <v>45.51</v>
      </c>
      <c r="D240" s="2993" t="s">
        <v>3235</v>
      </c>
      <c r="E240" s="2995">
        <v>420000</v>
      </c>
    </row>
    <row r="241" spans="1:6" s="2993" customFormat="1">
      <c r="A241" s="3204">
        <v>50</v>
      </c>
      <c r="B241" s="2991" t="s">
        <v>3469</v>
      </c>
      <c r="C241" s="2992">
        <v>134.47</v>
      </c>
      <c r="D241" s="2993" t="s">
        <v>3238</v>
      </c>
      <c r="E241" s="2995">
        <v>8094049</v>
      </c>
    </row>
    <row r="242" spans="1:6" s="2993" customFormat="1" ht="24">
      <c r="A242" s="3204"/>
      <c r="B242" s="2991" t="s">
        <v>3470</v>
      </c>
      <c r="C242" s="2992">
        <v>84.77</v>
      </c>
      <c r="D242" s="2993" t="s">
        <v>4487</v>
      </c>
      <c r="E242" s="2995">
        <v>2543100</v>
      </c>
      <c r="F242" s="2993">
        <f t="shared" ref="F242:F243" si="46">E242/C242</f>
        <v>30000</v>
      </c>
    </row>
    <row r="243" spans="1:6" s="2993" customFormat="1">
      <c r="A243" s="3204"/>
      <c r="B243" s="2991" t="s">
        <v>3471</v>
      </c>
      <c r="C243" s="2992">
        <v>84.17</v>
      </c>
      <c r="D243" s="2993" t="s">
        <v>3241</v>
      </c>
      <c r="E243" s="2995">
        <v>2525100</v>
      </c>
      <c r="F243" s="2993">
        <f t="shared" si="46"/>
        <v>30000</v>
      </c>
    </row>
    <row r="244" spans="1:6" s="2993" customFormat="1">
      <c r="A244" s="3204"/>
      <c r="B244" s="2991" t="s">
        <v>3472</v>
      </c>
      <c r="C244" s="2992">
        <v>45.51</v>
      </c>
      <c r="D244" s="2993" t="s">
        <v>3235</v>
      </c>
      <c r="E244" s="2995">
        <v>420000</v>
      </c>
    </row>
    <row r="245" spans="1:6" s="2993" customFormat="1">
      <c r="A245" s="3204"/>
      <c r="B245" s="2991" t="s">
        <v>3473</v>
      </c>
      <c r="C245" s="2992">
        <v>45.51</v>
      </c>
      <c r="D245" s="2993" t="s">
        <v>3235</v>
      </c>
      <c r="E245" s="2995">
        <v>420000</v>
      </c>
    </row>
    <row r="246" spans="1:6" s="2993" customFormat="1">
      <c r="A246" s="3204">
        <v>51</v>
      </c>
      <c r="B246" s="2991" t="s">
        <v>3474</v>
      </c>
      <c r="C246" s="2992">
        <v>138.88</v>
      </c>
      <c r="D246" s="2993" t="s">
        <v>3238</v>
      </c>
      <c r="E246" s="2995">
        <v>8819991</v>
      </c>
    </row>
    <row r="247" spans="1:6" s="2993" customFormat="1" ht="24">
      <c r="A247" s="3204"/>
      <c r="B247" s="2991" t="s">
        <v>3475</v>
      </c>
      <c r="C247" s="2992">
        <v>87.03</v>
      </c>
      <c r="D247" s="2993" t="s">
        <v>4487</v>
      </c>
      <c r="E247" s="2995">
        <v>2610900</v>
      </c>
      <c r="F247" s="2993">
        <f t="shared" ref="F247:F248" si="47">E247/C247</f>
        <v>30000</v>
      </c>
    </row>
    <row r="248" spans="1:6" s="2993" customFormat="1">
      <c r="A248" s="3204"/>
      <c r="B248" s="2991" t="s">
        <v>3476</v>
      </c>
      <c r="C248" s="2992">
        <v>85.1</v>
      </c>
      <c r="D248" s="2993" t="s">
        <v>3241</v>
      </c>
      <c r="E248" s="2995">
        <v>2553000</v>
      </c>
      <c r="F248" s="2993">
        <f t="shared" si="47"/>
        <v>30000.000000000004</v>
      </c>
    </row>
    <row r="249" spans="1:6" s="2993" customFormat="1">
      <c r="A249" s="3204"/>
      <c r="B249" s="2991" t="s">
        <v>3477</v>
      </c>
      <c r="C249" s="2992">
        <v>45.51</v>
      </c>
      <c r="D249" s="2993" t="s">
        <v>3235</v>
      </c>
      <c r="E249" s="2995">
        <v>420000</v>
      </c>
    </row>
    <row r="250" spans="1:6" s="2993" customFormat="1">
      <c r="A250" s="3204"/>
      <c r="B250" s="2991" t="s">
        <v>3478</v>
      </c>
      <c r="C250" s="2992">
        <v>45.51</v>
      </c>
      <c r="D250" s="2993" t="s">
        <v>3235</v>
      </c>
      <c r="E250" s="2995">
        <v>420000</v>
      </c>
    </row>
    <row r="251" spans="1:6" s="2993" customFormat="1">
      <c r="A251" s="3204">
        <v>52</v>
      </c>
      <c r="B251" s="2991" t="s">
        <v>3479</v>
      </c>
      <c r="C251" s="2992">
        <v>138.57</v>
      </c>
      <c r="D251" s="2993" t="s">
        <v>3238</v>
      </c>
      <c r="E251" s="2995">
        <v>8800304</v>
      </c>
    </row>
    <row r="252" spans="1:6" s="2993" customFormat="1" ht="24">
      <c r="A252" s="3204"/>
      <c r="B252" s="2991" t="s">
        <v>3480</v>
      </c>
      <c r="C252" s="2992">
        <v>86.68</v>
      </c>
      <c r="D252" s="2993" t="s">
        <v>4487</v>
      </c>
      <c r="E252" s="2995">
        <v>2600400</v>
      </c>
      <c r="F252" s="2993">
        <f t="shared" ref="F252:F253" si="48">E252/C252</f>
        <v>29999.999999999996</v>
      </c>
    </row>
    <row r="253" spans="1:6" s="2993" customFormat="1">
      <c r="A253" s="3204"/>
      <c r="B253" s="2991" t="s">
        <v>3481</v>
      </c>
      <c r="C253" s="2992">
        <v>85.08</v>
      </c>
      <c r="D253" s="2993" t="s">
        <v>3241</v>
      </c>
      <c r="E253" s="2995">
        <v>2552400</v>
      </c>
      <c r="F253" s="2993">
        <f t="shared" si="48"/>
        <v>30000</v>
      </c>
    </row>
    <row r="254" spans="1:6" s="2993" customFormat="1">
      <c r="A254" s="3204"/>
      <c r="B254" s="2991" t="s">
        <v>3482</v>
      </c>
      <c r="C254" s="2992">
        <v>45.51</v>
      </c>
      <c r="D254" s="2993" t="s">
        <v>3235</v>
      </c>
      <c r="E254" s="2995">
        <v>420000</v>
      </c>
    </row>
    <row r="255" spans="1:6" s="2993" customFormat="1">
      <c r="A255" s="3204"/>
      <c r="B255" s="2991" t="s">
        <v>3483</v>
      </c>
      <c r="C255" s="2992">
        <v>45.51</v>
      </c>
      <c r="D255" s="2993" t="s">
        <v>3235</v>
      </c>
      <c r="E255" s="2995">
        <v>420000</v>
      </c>
    </row>
    <row r="256" spans="1:6" s="2993" customFormat="1">
      <c r="A256" s="3204">
        <v>53</v>
      </c>
      <c r="B256" s="2991" t="s">
        <v>3484</v>
      </c>
      <c r="C256" s="2992">
        <v>138.78</v>
      </c>
      <c r="D256" s="2993" t="s">
        <v>3238</v>
      </c>
      <c r="E256" s="2995">
        <v>8813640</v>
      </c>
    </row>
    <row r="257" spans="1:6" s="2993" customFormat="1" ht="24">
      <c r="A257" s="3204"/>
      <c r="B257" s="2991" t="s">
        <v>3485</v>
      </c>
      <c r="C257" s="2992">
        <v>86.96</v>
      </c>
      <c r="D257" s="2993" t="s">
        <v>4487</v>
      </c>
      <c r="E257" s="2995">
        <v>2608800</v>
      </c>
      <c r="F257" s="2993">
        <f t="shared" ref="F257:F258" si="49">E257/C257</f>
        <v>30000.000000000004</v>
      </c>
    </row>
    <row r="258" spans="1:6" s="2993" customFormat="1">
      <c r="A258" s="3204"/>
      <c r="B258" s="2991" t="s">
        <v>3486</v>
      </c>
      <c r="C258" s="2992">
        <v>85.08</v>
      </c>
      <c r="D258" s="2993" t="s">
        <v>3241</v>
      </c>
      <c r="E258" s="2995">
        <v>2552400</v>
      </c>
      <c r="F258" s="2993">
        <f t="shared" si="49"/>
        <v>30000</v>
      </c>
    </row>
    <row r="259" spans="1:6" s="2993" customFormat="1">
      <c r="A259" s="3204"/>
      <c r="B259" s="2991" t="s">
        <v>3487</v>
      </c>
      <c r="C259" s="2992">
        <v>45.51</v>
      </c>
      <c r="D259" s="2993" t="s">
        <v>3235</v>
      </c>
      <c r="E259" s="2995">
        <v>420000</v>
      </c>
    </row>
    <row r="260" spans="1:6" s="2993" customFormat="1">
      <c r="A260" s="3204"/>
      <c r="B260" s="2991" t="s">
        <v>3488</v>
      </c>
      <c r="C260" s="2992">
        <v>45.51</v>
      </c>
      <c r="D260" s="2993" t="s">
        <v>3235</v>
      </c>
      <c r="E260" s="2995">
        <v>420000</v>
      </c>
    </row>
    <row r="261" spans="1:6" s="2993" customFormat="1">
      <c r="A261" s="3204">
        <v>54</v>
      </c>
      <c r="B261" s="2991" t="s">
        <v>3489</v>
      </c>
      <c r="C261" s="2992">
        <v>134.29</v>
      </c>
      <c r="D261" s="2993" t="s">
        <v>3238</v>
      </c>
      <c r="E261" s="2995">
        <v>8324774</v>
      </c>
    </row>
    <row r="262" spans="1:6" s="2993" customFormat="1" ht="24">
      <c r="A262" s="3204"/>
      <c r="B262" s="2991" t="s">
        <v>3490</v>
      </c>
      <c r="C262" s="2992">
        <v>84.35</v>
      </c>
      <c r="D262" s="2993" t="s">
        <v>4487</v>
      </c>
      <c r="E262" s="2995">
        <v>2530500</v>
      </c>
      <c r="F262" s="2993">
        <f t="shared" ref="F262:F263" si="50">E262/C262</f>
        <v>30000.000000000004</v>
      </c>
    </row>
    <row r="263" spans="1:6" s="2993" customFormat="1">
      <c r="A263" s="3204"/>
      <c r="B263" s="2991" t="s">
        <v>3491</v>
      </c>
      <c r="C263" s="2992">
        <v>83.45</v>
      </c>
      <c r="D263" s="2993" t="s">
        <v>3252</v>
      </c>
      <c r="E263" s="2995">
        <v>2503500</v>
      </c>
      <c r="F263" s="2993">
        <f t="shared" si="50"/>
        <v>30000</v>
      </c>
    </row>
    <row r="264" spans="1:6" s="2993" customFormat="1">
      <c r="A264" s="3204"/>
      <c r="B264" s="2991" t="s">
        <v>3492</v>
      </c>
      <c r="C264" s="2992">
        <v>45.51</v>
      </c>
      <c r="D264" s="2993" t="s">
        <v>3254</v>
      </c>
      <c r="E264" s="2995">
        <v>420000</v>
      </c>
    </row>
    <row r="265" spans="1:6" s="2993" customFormat="1">
      <c r="A265" s="3204"/>
      <c r="B265" s="2991" t="s">
        <v>3493</v>
      </c>
      <c r="C265" s="2992">
        <v>45.51</v>
      </c>
      <c r="D265" s="2993" t="s">
        <v>3254</v>
      </c>
      <c r="E265" s="2995">
        <v>420000</v>
      </c>
    </row>
    <row r="266" spans="1:6" s="2993" customFormat="1">
      <c r="A266" s="3204">
        <v>55</v>
      </c>
      <c r="B266" s="2991" t="s">
        <v>3494</v>
      </c>
      <c r="C266" s="2992">
        <v>134.47</v>
      </c>
      <c r="D266" s="2993" t="s">
        <v>3257</v>
      </c>
      <c r="E266" s="2995">
        <v>7925703</v>
      </c>
    </row>
    <row r="267" spans="1:6" s="2993" customFormat="1" ht="24">
      <c r="A267" s="3204"/>
      <c r="B267" s="2991" t="s">
        <v>3495</v>
      </c>
      <c r="C267" s="2992">
        <v>84.77</v>
      </c>
      <c r="D267" s="2993" t="s">
        <v>4487</v>
      </c>
      <c r="E267" s="2995">
        <v>2543100</v>
      </c>
      <c r="F267" s="2993">
        <f t="shared" ref="F267:F268" si="51">E267/C267</f>
        <v>30000</v>
      </c>
    </row>
    <row r="268" spans="1:6" s="2993" customFormat="1">
      <c r="A268" s="3204"/>
      <c r="B268" s="2991" t="s">
        <v>3496</v>
      </c>
      <c r="C268" s="2992">
        <v>84.17</v>
      </c>
      <c r="D268" s="2993" t="s">
        <v>3252</v>
      </c>
      <c r="E268" s="2995">
        <v>2525100</v>
      </c>
      <c r="F268" s="2993">
        <f t="shared" si="51"/>
        <v>30000</v>
      </c>
    </row>
    <row r="269" spans="1:6" s="2993" customFormat="1">
      <c r="A269" s="3204"/>
      <c r="B269" s="2991" t="s">
        <v>3497</v>
      </c>
      <c r="C269" s="2992">
        <v>45.51</v>
      </c>
      <c r="D269" s="2993" t="s">
        <v>3254</v>
      </c>
      <c r="E269" s="2995">
        <v>420000</v>
      </c>
    </row>
    <row r="270" spans="1:6" s="2993" customFormat="1">
      <c r="A270" s="3204"/>
      <c r="B270" s="2991" t="s">
        <v>3498</v>
      </c>
      <c r="C270" s="2992">
        <v>45.51</v>
      </c>
      <c r="D270" s="2993" t="s">
        <v>3254</v>
      </c>
      <c r="E270" s="2995">
        <v>420000</v>
      </c>
    </row>
    <row r="271" spans="1:6" s="2993" customFormat="1">
      <c r="A271" s="3204">
        <v>56</v>
      </c>
      <c r="B271" s="2991" t="s">
        <v>3499</v>
      </c>
      <c r="C271" s="2992">
        <v>134.29</v>
      </c>
      <c r="D271" s="2993" t="s">
        <v>3257</v>
      </c>
      <c r="E271" s="2995">
        <v>8528489</v>
      </c>
    </row>
    <row r="272" spans="1:6" s="2993" customFormat="1" ht="24">
      <c r="A272" s="3204"/>
      <c r="B272" s="2991" t="s">
        <v>3500</v>
      </c>
      <c r="C272" s="2992">
        <v>84.35</v>
      </c>
      <c r="D272" s="2993" t="s">
        <v>4487</v>
      </c>
      <c r="E272" s="2995">
        <v>2530500</v>
      </c>
      <c r="F272" s="2993">
        <f t="shared" ref="F272:F273" si="52">E272/C272</f>
        <v>30000.000000000004</v>
      </c>
    </row>
    <row r="273" spans="1:6" s="2993" customFormat="1">
      <c r="A273" s="3204"/>
      <c r="B273" s="2991" t="s">
        <v>3501</v>
      </c>
      <c r="C273" s="2992">
        <v>83.45</v>
      </c>
      <c r="D273" s="2993" t="s">
        <v>3252</v>
      </c>
      <c r="E273" s="2995">
        <v>2503500</v>
      </c>
      <c r="F273" s="2993">
        <f t="shared" si="52"/>
        <v>30000</v>
      </c>
    </row>
    <row r="274" spans="1:6" s="2993" customFormat="1">
      <c r="A274" s="3204"/>
      <c r="B274" s="2991" t="s">
        <v>3502</v>
      </c>
      <c r="C274" s="2992">
        <v>45.51</v>
      </c>
      <c r="D274" s="2993" t="s">
        <v>3254</v>
      </c>
      <c r="E274" s="2995">
        <v>420000</v>
      </c>
    </row>
    <row r="275" spans="1:6" s="2993" customFormat="1">
      <c r="A275" s="3204"/>
      <c r="B275" s="2991" t="s">
        <v>3503</v>
      </c>
      <c r="C275" s="2992">
        <v>45.51</v>
      </c>
      <c r="D275" s="2993" t="s">
        <v>3254</v>
      </c>
      <c r="E275" s="2995">
        <v>420000</v>
      </c>
    </row>
    <row r="276" spans="1:6" s="2993" customFormat="1">
      <c r="A276" s="3204">
        <v>57</v>
      </c>
      <c r="B276" s="2991" t="s">
        <v>3504</v>
      </c>
      <c r="C276" s="2992">
        <v>134.28</v>
      </c>
      <c r="D276" s="2993" t="s">
        <v>3257</v>
      </c>
      <c r="E276" s="2995">
        <v>7766417</v>
      </c>
    </row>
    <row r="277" spans="1:6" s="2993" customFormat="1" ht="24">
      <c r="A277" s="3204"/>
      <c r="B277" s="2991" t="s">
        <v>3505</v>
      </c>
      <c r="C277" s="2992">
        <v>84.49</v>
      </c>
      <c r="D277" s="2993" t="s">
        <v>4487</v>
      </c>
      <c r="E277" s="2995">
        <v>2534700</v>
      </c>
      <c r="F277" s="2993">
        <f t="shared" ref="F277:F278" si="53">E277/C277</f>
        <v>30000</v>
      </c>
    </row>
    <row r="278" spans="1:6" s="2993" customFormat="1">
      <c r="A278" s="3204"/>
      <c r="B278" s="2991" t="s">
        <v>3506</v>
      </c>
      <c r="C278" s="2992">
        <v>84.17</v>
      </c>
      <c r="D278" s="2993" t="s">
        <v>3252</v>
      </c>
      <c r="E278" s="2995">
        <v>2525100</v>
      </c>
      <c r="F278" s="2993">
        <f t="shared" si="53"/>
        <v>30000</v>
      </c>
    </row>
    <row r="279" spans="1:6" s="2993" customFormat="1">
      <c r="A279" s="3204"/>
      <c r="B279" s="2991" t="s">
        <v>3507</v>
      </c>
      <c r="C279" s="2992">
        <v>45.51</v>
      </c>
      <c r="D279" s="2993" t="s">
        <v>3254</v>
      </c>
      <c r="E279" s="2995">
        <v>420000</v>
      </c>
    </row>
    <row r="280" spans="1:6" s="2993" customFormat="1">
      <c r="A280" s="3204"/>
      <c r="B280" s="2991" t="s">
        <v>3508</v>
      </c>
      <c r="C280" s="2992">
        <v>45.51</v>
      </c>
      <c r="D280" s="2993" t="s">
        <v>3254</v>
      </c>
      <c r="E280" s="2995">
        <v>420000</v>
      </c>
    </row>
    <row r="281" spans="1:6" s="2993" customFormat="1">
      <c r="A281" s="3204">
        <v>58</v>
      </c>
      <c r="B281" s="2991" t="s">
        <v>3509</v>
      </c>
      <c r="C281" s="2992">
        <v>134.43</v>
      </c>
      <c r="D281" s="2993" t="s">
        <v>3257</v>
      </c>
      <c r="E281" s="2995">
        <v>8158960</v>
      </c>
    </row>
    <row r="282" spans="1:6" s="2993" customFormat="1" ht="24">
      <c r="A282" s="3204"/>
      <c r="B282" s="2991" t="s">
        <v>3510</v>
      </c>
      <c r="C282" s="2992">
        <v>84.73</v>
      </c>
      <c r="D282" s="2993" t="s">
        <v>4487</v>
      </c>
      <c r="E282" s="2995">
        <v>2541900</v>
      </c>
      <c r="F282" s="2993">
        <f t="shared" ref="F282:F283" si="54">E282/C282</f>
        <v>30000</v>
      </c>
    </row>
    <row r="283" spans="1:6" s="2993" customFormat="1">
      <c r="A283" s="3204"/>
      <c r="B283" s="2991" t="s">
        <v>3511</v>
      </c>
      <c r="C283" s="2992">
        <v>84.16</v>
      </c>
      <c r="D283" s="2993" t="s">
        <v>3252</v>
      </c>
      <c r="E283" s="2995">
        <v>2524800</v>
      </c>
      <c r="F283" s="2993">
        <f t="shared" si="54"/>
        <v>30000</v>
      </c>
    </row>
    <row r="284" spans="1:6" s="2993" customFormat="1">
      <c r="A284" s="3204"/>
      <c r="B284" s="2991" t="s">
        <v>3512</v>
      </c>
      <c r="C284" s="2992">
        <v>45.51</v>
      </c>
      <c r="D284" s="2993" t="s">
        <v>3254</v>
      </c>
      <c r="E284" s="2995">
        <v>420000</v>
      </c>
    </row>
    <row r="285" spans="1:6" s="2993" customFormat="1">
      <c r="A285" s="3204"/>
      <c r="B285" s="2991" t="s">
        <v>3513</v>
      </c>
      <c r="C285" s="2992">
        <v>45.51</v>
      </c>
      <c r="D285" s="2993" t="s">
        <v>3254</v>
      </c>
      <c r="E285" s="2995">
        <v>420000</v>
      </c>
    </row>
    <row r="286" spans="1:6" s="2993" customFormat="1">
      <c r="A286" s="3204">
        <v>59</v>
      </c>
      <c r="B286" s="2991" t="s">
        <v>3514</v>
      </c>
      <c r="C286" s="2992">
        <v>135.25</v>
      </c>
      <c r="D286" s="2993" t="s">
        <v>3257</v>
      </c>
      <c r="E286" s="2995">
        <v>7971725</v>
      </c>
    </row>
    <row r="287" spans="1:6" s="2993" customFormat="1" ht="24">
      <c r="A287" s="3204"/>
      <c r="B287" s="2991" t="s">
        <v>3515</v>
      </c>
      <c r="C287" s="2992">
        <v>85.37</v>
      </c>
      <c r="D287" s="2993" t="s">
        <v>4487</v>
      </c>
      <c r="E287" s="2995">
        <v>2561100</v>
      </c>
      <c r="F287" s="2993">
        <f t="shared" ref="F287:F288" si="55">E287/C287</f>
        <v>30000</v>
      </c>
    </row>
    <row r="288" spans="1:6" s="2993" customFormat="1">
      <c r="A288" s="3204"/>
      <c r="B288" s="2991" t="s">
        <v>3516</v>
      </c>
      <c r="C288" s="2992">
        <v>84.31</v>
      </c>
      <c r="D288" s="2993" t="s">
        <v>3252</v>
      </c>
      <c r="E288" s="2995">
        <v>2529300</v>
      </c>
      <c r="F288" s="2993">
        <f t="shared" si="55"/>
        <v>30000</v>
      </c>
    </row>
    <row r="289" spans="1:6" s="2993" customFormat="1">
      <c r="A289" s="3204"/>
      <c r="B289" s="2991" t="s">
        <v>3517</v>
      </c>
      <c r="C289" s="2992">
        <v>45.51</v>
      </c>
      <c r="D289" s="2993" t="s">
        <v>3254</v>
      </c>
      <c r="E289" s="2995">
        <v>420000</v>
      </c>
    </row>
    <row r="290" spans="1:6" s="2993" customFormat="1">
      <c r="A290" s="3204"/>
      <c r="B290" s="2991" t="s">
        <v>3518</v>
      </c>
      <c r="C290" s="2992">
        <v>45.51</v>
      </c>
      <c r="D290" s="2993" t="s">
        <v>3254</v>
      </c>
      <c r="E290" s="2995">
        <v>420000</v>
      </c>
    </row>
    <row r="291" spans="1:6" s="2993" customFormat="1">
      <c r="A291" s="3204">
        <v>60</v>
      </c>
      <c r="B291" s="2991" t="s">
        <v>3519</v>
      </c>
      <c r="C291" s="2992">
        <v>135.25</v>
      </c>
      <c r="D291" s="2993" t="s">
        <v>3257</v>
      </c>
      <c r="E291" s="2995">
        <v>8359532</v>
      </c>
    </row>
    <row r="292" spans="1:6" s="2993" customFormat="1" ht="24">
      <c r="A292" s="3204"/>
      <c r="B292" s="2991" t="s">
        <v>3520</v>
      </c>
      <c r="C292" s="2992">
        <v>85.37</v>
      </c>
      <c r="D292" s="2993" t="s">
        <v>4487</v>
      </c>
      <c r="E292" s="2995">
        <v>2561100</v>
      </c>
      <c r="F292" s="2993">
        <f t="shared" ref="F292:F293" si="56">E292/C292</f>
        <v>30000</v>
      </c>
    </row>
    <row r="293" spans="1:6" s="2993" customFormat="1">
      <c r="A293" s="3204"/>
      <c r="B293" s="2991" t="s">
        <v>3521</v>
      </c>
      <c r="C293" s="2992">
        <v>84.31</v>
      </c>
      <c r="D293" s="2993" t="s">
        <v>3252</v>
      </c>
      <c r="E293" s="2995">
        <v>2529300</v>
      </c>
      <c r="F293" s="2993">
        <f t="shared" si="56"/>
        <v>30000</v>
      </c>
    </row>
    <row r="294" spans="1:6" s="2993" customFormat="1">
      <c r="A294" s="3204"/>
      <c r="B294" s="2991" t="s">
        <v>3522</v>
      </c>
      <c r="C294" s="2992">
        <v>45.51</v>
      </c>
      <c r="D294" s="2993" t="s">
        <v>3254</v>
      </c>
      <c r="E294" s="2995">
        <v>420000</v>
      </c>
    </row>
    <row r="295" spans="1:6" s="2993" customFormat="1">
      <c r="A295" s="3204"/>
      <c r="B295" s="2991" t="s">
        <v>3523</v>
      </c>
      <c r="C295" s="2992">
        <v>45.51</v>
      </c>
      <c r="D295" s="2993" t="s">
        <v>3254</v>
      </c>
      <c r="E295" s="2995">
        <v>420000</v>
      </c>
    </row>
    <row r="296" spans="1:6" s="2993" customFormat="1">
      <c r="A296" s="3204">
        <v>61</v>
      </c>
      <c r="B296" s="2991" t="s">
        <v>3524</v>
      </c>
      <c r="C296" s="2992">
        <v>134.18</v>
      </c>
      <c r="D296" s="2993" t="s">
        <v>3257</v>
      </c>
      <c r="E296" s="2995">
        <v>8401004</v>
      </c>
    </row>
    <row r="297" spans="1:6" s="2993" customFormat="1" ht="24">
      <c r="A297" s="3204"/>
      <c r="B297" s="2991" t="s">
        <v>3525</v>
      </c>
      <c r="C297" s="2992">
        <v>84.28</v>
      </c>
      <c r="D297" s="2993" t="s">
        <v>4487</v>
      </c>
      <c r="E297" s="2995">
        <v>2528400</v>
      </c>
      <c r="F297" s="2993">
        <f t="shared" ref="F297:F298" si="57">E297/C297</f>
        <v>30000</v>
      </c>
    </row>
    <row r="298" spans="1:6" s="2993" customFormat="1">
      <c r="A298" s="3204"/>
      <c r="B298" s="2991" t="s">
        <v>3526</v>
      </c>
      <c r="C298" s="2992">
        <v>83.43</v>
      </c>
      <c r="D298" s="2993" t="s">
        <v>3252</v>
      </c>
      <c r="E298" s="2995">
        <v>2502900</v>
      </c>
      <c r="F298" s="2993">
        <f t="shared" si="57"/>
        <v>29999.999999999996</v>
      </c>
    </row>
    <row r="299" spans="1:6" s="2993" customFormat="1">
      <c r="A299" s="3204"/>
      <c r="B299" s="2991" t="s">
        <v>3527</v>
      </c>
      <c r="C299" s="2992">
        <v>45.51</v>
      </c>
      <c r="D299" s="2993" t="s">
        <v>3254</v>
      </c>
      <c r="E299" s="2995">
        <v>420000</v>
      </c>
    </row>
    <row r="300" spans="1:6" s="2993" customFormat="1">
      <c r="A300" s="3204"/>
      <c r="B300" s="2991" t="s">
        <v>3528</v>
      </c>
      <c r="C300" s="2992">
        <v>45.51</v>
      </c>
      <c r="D300" s="2993" t="s">
        <v>3254</v>
      </c>
      <c r="E300" s="2995">
        <v>420000</v>
      </c>
    </row>
    <row r="301" spans="1:6" s="2993" customFormat="1">
      <c r="A301" s="3204">
        <v>62</v>
      </c>
      <c r="B301" s="2991" t="s">
        <v>3529</v>
      </c>
      <c r="C301" s="2992">
        <v>134.18</v>
      </c>
      <c r="D301" s="2993" t="s">
        <v>3257</v>
      </c>
      <c r="E301" s="2995">
        <v>8521503</v>
      </c>
    </row>
    <row r="302" spans="1:6" s="2993" customFormat="1" ht="24">
      <c r="A302" s="3204"/>
      <c r="B302" s="2991" t="s">
        <v>3530</v>
      </c>
      <c r="C302" s="2992">
        <v>84.28</v>
      </c>
      <c r="D302" s="2993" t="s">
        <v>4487</v>
      </c>
      <c r="E302" s="2995">
        <v>2528400</v>
      </c>
      <c r="F302" s="2993">
        <f t="shared" ref="F302:F303" si="58">E302/C302</f>
        <v>30000</v>
      </c>
    </row>
    <row r="303" spans="1:6" s="2993" customFormat="1">
      <c r="A303" s="3204"/>
      <c r="B303" s="2991" t="s">
        <v>3531</v>
      </c>
      <c r="C303" s="2992">
        <v>83.43</v>
      </c>
      <c r="D303" s="2993" t="s">
        <v>3252</v>
      </c>
      <c r="E303" s="2995">
        <v>2502900</v>
      </c>
      <c r="F303" s="2993">
        <f t="shared" si="58"/>
        <v>29999.999999999996</v>
      </c>
    </row>
    <row r="304" spans="1:6" s="2993" customFormat="1">
      <c r="A304" s="3204"/>
      <c r="B304" s="2991" t="s">
        <v>3532</v>
      </c>
      <c r="C304" s="2992">
        <v>45.51</v>
      </c>
      <c r="D304" s="2993" t="s">
        <v>3254</v>
      </c>
      <c r="E304" s="2995">
        <v>420000</v>
      </c>
    </row>
    <row r="305" spans="1:6" s="2993" customFormat="1">
      <c r="A305" s="3204"/>
      <c r="B305" s="2991" t="s">
        <v>3533</v>
      </c>
      <c r="C305" s="2992">
        <v>45.51</v>
      </c>
      <c r="D305" s="2993" t="s">
        <v>3254</v>
      </c>
      <c r="E305" s="2995">
        <v>420000</v>
      </c>
    </row>
    <row r="306" spans="1:6" s="2993" customFormat="1">
      <c r="A306" s="3204">
        <v>63</v>
      </c>
      <c r="B306" s="2991" t="s">
        <v>3534</v>
      </c>
      <c r="C306" s="2992">
        <v>134.36000000000001</v>
      </c>
      <c r="D306" s="2993" t="s">
        <v>3257</v>
      </c>
      <c r="E306" s="2995">
        <v>8154728</v>
      </c>
    </row>
    <row r="307" spans="1:6" s="2993" customFormat="1" ht="24">
      <c r="A307" s="3204"/>
      <c r="B307" s="2991" t="s">
        <v>3535</v>
      </c>
      <c r="C307" s="2992">
        <v>84.7</v>
      </c>
      <c r="D307" s="2993" t="s">
        <v>4487</v>
      </c>
      <c r="E307" s="2995">
        <v>2541000</v>
      </c>
      <c r="F307" s="2993">
        <f t="shared" ref="F307:F308" si="59">E307/C307</f>
        <v>30000</v>
      </c>
    </row>
    <row r="308" spans="1:6" s="2993" customFormat="1">
      <c r="A308" s="3204"/>
      <c r="B308" s="2991" t="s">
        <v>3536</v>
      </c>
      <c r="C308" s="2992">
        <v>84.15</v>
      </c>
      <c r="D308" s="2993" t="s">
        <v>3252</v>
      </c>
      <c r="E308" s="2995">
        <v>2524500</v>
      </c>
      <c r="F308" s="2993">
        <f t="shared" si="59"/>
        <v>29999.999999999996</v>
      </c>
    </row>
    <row r="309" spans="1:6" s="2993" customFormat="1">
      <c r="A309" s="3204"/>
      <c r="B309" s="2991" t="s">
        <v>3537</v>
      </c>
      <c r="C309" s="2992">
        <v>45.51</v>
      </c>
      <c r="D309" s="2993" t="s">
        <v>3254</v>
      </c>
      <c r="E309" s="2995">
        <v>420000</v>
      </c>
    </row>
    <row r="310" spans="1:6" s="2993" customFormat="1">
      <c r="A310" s="3204"/>
      <c r="B310" s="2991" t="s">
        <v>3538</v>
      </c>
      <c r="C310" s="2992">
        <v>45.51</v>
      </c>
      <c r="D310" s="2993" t="s">
        <v>3254</v>
      </c>
      <c r="E310" s="2995">
        <v>420000</v>
      </c>
    </row>
    <row r="311" spans="1:6" s="2993" customFormat="1">
      <c r="A311" s="3204">
        <v>64</v>
      </c>
      <c r="B311" s="2991" t="s">
        <v>3539</v>
      </c>
      <c r="C311" s="2992">
        <v>134.18</v>
      </c>
      <c r="D311" s="2993" t="s">
        <v>3257</v>
      </c>
      <c r="E311" s="2995">
        <v>8469091</v>
      </c>
    </row>
    <row r="312" spans="1:6" s="2993" customFormat="1" ht="24">
      <c r="A312" s="3204"/>
      <c r="B312" s="2991" t="s">
        <v>3540</v>
      </c>
      <c r="C312" s="2992">
        <v>84.28</v>
      </c>
      <c r="D312" s="2993" t="s">
        <v>4487</v>
      </c>
      <c r="E312" s="2995">
        <v>2528400</v>
      </c>
      <c r="F312" s="2993">
        <f t="shared" ref="F312:F313" si="60">E312/C312</f>
        <v>30000</v>
      </c>
    </row>
    <row r="313" spans="1:6" s="2993" customFormat="1">
      <c r="A313" s="3204"/>
      <c r="B313" s="2991" t="s">
        <v>3541</v>
      </c>
      <c r="C313" s="2992">
        <v>83.43</v>
      </c>
      <c r="D313" s="2993" t="s">
        <v>3252</v>
      </c>
      <c r="E313" s="2995">
        <v>2502900</v>
      </c>
      <c r="F313" s="2993">
        <f t="shared" si="60"/>
        <v>29999.999999999996</v>
      </c>
    </row>
    <row r="314" spans="1:6" s="2993" customFormat="1">
      <c r="A314" s="3204"/>
      <c r="B314" s="2991" t="s">
        <v>3542</v>
      </c>
      <c r="C314" s="2992">
        <v>45.51</v>
      </c>
      <c r="D314" s="2993" t="s">
        <v>3254</v>
      </c>
      <c r="E314" s="2995">
        <v>420000</v>
      </c>
    </row>
    <row r="315" spans="1:6" s="2993" customFormat="1">
      <c r="A315" s="3204"/>
      <c r="B315" s="2991" t="s">
        <v>3543</v>
      </c>
      <c r="C315" s="2992">
        <v>45.51</v>
      </c>
      <c r="D315" s="2993" t="s">
        <v>3254</v>
      </c>
      <c r="E315" s="2995">
        <v>420000</v>
      </c>
    </row>
    <row r="316" spans="1:6" s="2993" customFormat="1">
      <c r="A316" s="3204">
        <v>65</v>
      </c>
      <c r="B316" s="2991" t="s">
        <v>3544</v>
      </c>
      <c r="C316" s="2992">
        <v>134.18</v>
      </c>
      <c r="D316" s="2993" t="s">
        <v>3257</v>
      </c>
      <c r="E316" s="2995">
        <v>8521503</v>
      </c>
    </row>
    <row r="317" spans="1:6" s="2993" customFormat="1" ht="24">
      <c r="A317" s="3204"/>
      <c r="B317" s="2991" t="s">
        <v>3545</v>
      </c>
      <c r="C317" s="2992">
        <v>84.28</v>
      </c>
      <c r="D317" s="2993" t="s">
        <v>4487</v>
      </c>
      <c r="E317" s="2995">
        <v>2528400</v>
      </c>
      <c r="F317" s="2993">
        <f t="shared" ref="F317:F318" si="61">E317/C317</f>
        <v>30000</v>
      </c>
    </row>
    <row r="318" spans="1:6" s="2993" customFormat="1">
      <c r="A318" s="3204"/>
      <c r="B318" s="2991" t="s">
        <v>3546</v>
      </c>
      <c r="C318" s="2992">
        <v>83.43</v>
      </c>
      <c r="D318" s="2993" t="s">
        <v>3252</v>
      </c>
      <c r="E318" s="2995">
        <v>2502900</v>
      </c>
      <c r="F318" s="2993">
        <f t="shared" si="61"/>
        <v>29999.999999999996</v>
      </c>
    </row>
    <row r="319" spans="1:6" s="2993" customFormat="1">
      <c r="A319" s="3204"/>
      <c r="B319" s="2991" t="s">
        <v>3547</v>
      </c>
      <c r="C319" s="2992">
        <v>45.51</v>
      </c>
      <c r="D319" s="2993" t="s">
        <v>3254</v>
      </c>
      <c r="E319" s="2995">
        <v>420000</v>
      </c>
    </row>
    <row r="320" spans="1:6" s="2993" customFormat="1">
      <c r="A320" s="3204"/>
      <c r="B320" s="2991" t="s">
        <v>3548</v>
      </c>
      <c r="C320" s="2992">
        <v>45.51</v>
      </c>
      <c r="D320" s="2993" t="s">
        <v>3254</v>
      </c>
      <c r="E320" s="2995">
        <v>420000</v>
      </c>
    </row>
    <row r="321" spans="1:6" s="2993" customFormat="1">
      <c r="A321" s="3204">
        <v>66</v>
      </c>
      <c r="B321" s="2991" t="s">
        <v>3549</v>
      </c>
      <c r="C321" s="2992">
        <v>134.16999999999999</v>
      </c>
      <c r="D321" s="2993" t="s">
        <v>3257</v>
      </c>
      <c r="E321" s="2995">
        <v>7692826</v>
      </c>
    </row>
    <row r="322" spans="1:6" s="2993" customFormat="1" ht="24">
      <c r="A322" s="3204"/>
      <c r="B322" s="2991" t="s">
        <v>3550</v>
      </c>
      <c r="C322" s="2992">
        <v>84.42</v>
      </c>
      <c r="D322" s="2993" t="s">
        <v>4487</v>
      </c>
      <c r="E322" s="2995">
        <v>2532600</v>
      </c>
      <c r="F322" s="2993">
        <f t="shared" ref="F322:F323" si="62">E322/C322</f>
        <v>30000</v>
      </c>
    </row>
    <row r="323" spans="1:6" s="2993" customFormat="1">
      <c r="A323" s="3204"/>
      <c r="B323" s="2991" t="s">
        <v>3551</v>
      </c>
      <c r="C323" s="2992">
        <v>84.15</v>
      </c>
      <c r="D323" s="2993" t="s">
        <v>3252</v>
      </c>
      <c r="E323" s="2995">
        <v>2524500</v>
      </c>
      <c r="F323" s="2993">
        <f t="shared" si="62"/>
        <v>29999.999999999996</v>
      </c>
    </row>
    <row r="324" spans="1:6" s="2993" customFormat="1">
      <c r="A324" s="3204"/>
      <c r="B324" s="2991" t="s">
        <v>3552</v>
      </c>
      <c r="C324" s="2992">
        <v>45.51</v>
      </c>
      <c r="D324" s="2993" t="s">
        <v>3235</v>
      </c>
      <c r="E324" s="2995">
        <v>420000</v>
      </c>
    </row>
    <row r="325" spans="1:6" s="2993" customFormat="1">
      <c r="A325" s="3204"/>
      <c r="B325" s="2991" t="s">
        <v>3553</v>
      </c>
      <c r="C325" s="2992">
        <v>45.51</v>
      </c>
      <c r="D325" s="2993" t="s">
        <v>3235</v>
      </c>
      <c r="E325" s="2995">
        <v>420000</v>
      </c>
    </row>
    <row r="326" spans="1:6" s="2993" customFormat="1">
      <c r="A326" s="3204">
        <v>67</v>
      </c>
      <c r="B326" s="2991" t="s">
        <v>3554</v>
      </c>
      <c r="C326" s="2992">
        <v>134.36000000000001</v>
      </c>
      <c r="D326" s="2993" t="s">
        <v>3238</v>
      </c>
      <c r="E326" s="2995">
        <v>8087437</v>
      </c>
    </row>
    <row r="327" spans="1:6" s="2993" customFormat="1" ht="24">
      <c r="A327" s="3204"/>
      <c r="B327" s="2991" t="s">
        <v>3555</v>
      </c>
      <c r="C327" s="2992">
        <v>84.7</v>
      </c>
      <c r="D327" s="2993" t="s">
        <v>4487</v>
      </c>
      <c r="E327" s="2995">
        <v>2541000</v>
      </c>
      <c r="F327" s="2993">
        <f t="shared" ref="F327:F328" si="63">E327/C327</f>
        <v>30000</v>
      </c>
    </row>
    <row r="328" spans="1:6" s="2993" customFormat="1">
      <c r="A328" s="3204"/>
      <c r="B328" s="2991" t="s">
        <v>3556</v>
      </c>
      <c r="C328" s="2992">
        <v>84.15</v>
      </c>
      <c r="D328" s="2993" t="s">
        <v>3241</v>
      </c>
      <c r="E328" s="2995">
        <v>2524500</v>
      </c>
      <c r="F328" s="2993">
        <f t="shared" si="63"/>
        <v>29999.999999999996</v>
      </c>
    </row>
    <row r="329" spans="1:6" s="2993" customFormat="1">
      <c r="A329" s="3204"/>
      <c r="B329" s="2991" t="s">
        <v>3557</v>
      </c>
      <c r="C329" s="2992">
        <v>45.51</v>
      </c>
      <c r="D329" s="2993" t="s">
        <v>3235</v>
      </c>
      <c r="E329" s="2995">
        <v>420000</v>
      </c>
    </row>
    <row r="330" spans="1:6" s="2993" customFormat="1">
      <c r="A330" s="3204"/>
      <c r="B330" s="2991" t="s">
        <v>3558</v>
      </c>
      <c r="C330" s="2992">
        <v>45.51</v>
      </c>
      <c r="D330" s="2993" t="s">
        <v>3235</v>
      </c>
      <c r="E330" s="2995">
        <v>420000</v>
      </c>
    </row>
    <row r="331" spans="1:6" s="2993" customFormat="1">
      <c r="A331" s="3204">
        <v>68</v>
      </c>
      <c r="B331" s="2991" t="s">
        <v>3559</v>
      </c>
      <c r="C331" s="2992">
        <v>134.54</v>
      </c>
      <c r="D331" s="2993" t="s">
        <v>3384</v>
      </c>
      <c r="E331" s="2995">
        <v>7997205</v>
      </c>
    </row>
    <row r="332" spans="1:6" s="2993" customFormat="1" ht="24">
      <c r="A332" s="3204"/>
      <c r="B332" s="2991" t="s">
        <v>3560</v>
      </c>
      <c r="C332" s="2992">
        <v>84.8</v>
      </c>
      <c r="D332" s="2993" t="s">
        <v>4487</v>
      </c>
      <c r="E332" s="2995">
        <v>2544000</v>
      </c>
      <c r="F332" s="2993">
        <f t="shared" ref="F332:F333" si="64">E332/C332</f>
        <v>30000</v>
      </c>
    </row>
    <row r="333" spans="1:6" s="2993" customFormat="1">
      <c r="A333" s="3204"/>
      <c r="B333" s="2991" t="s">
        <v>3561</v>
      </c>
      <c r="C333" s="2992">
        <v>84.18</v>
      </c>
      <c r="D333" s="2993" t="s">
        <v>3379</v>
      </c>
      <c r="E333" s="2995">
        <v>2525400</v>
      </c>
      <c r="F333" s="2993">
        <f t="shared" si="64"/>
        <v>29999.999999999996</v>
      </c>
    </row>
    <row r="334" spans="1:6" s="2993" customFormat="1">
      <c r="A334" s="3204"/>
      <c r="B334" s="2991" t="s">
        <v>3562</v>
      </c>
      <c r="C334" s="2992">
        <v>45.51</v>
      </c>
      <c r="D334" s="2993" t="s">
        <v>3381</v>
      </c>
      <c r="E334" s="2995">
        <v>420000</v>
      </c>
    </row>
    <row r="335" spans="1:6" s="2993" customFormat="1">
      <c r="A335" s="3204"/>
      <c r="B335" s="2991" t="s">
        <v>3563</v>
      </c>
      <c r="C335" s="2992">
        <v>45.51</v>
      </c>
      <c r="D335" s="2993" t="s">
        <v>3381</v>
      </c>
      <c r="E335" s="2995">
        <v>420000</v>
      </c>
    </row>
    <row r="336" spans="1:6" s="2993" customFormat="1">
      <c r="A336" s="3204">
        <v>69</v>
      </c>
      <c r="B336" s="2991" t="s">
        <v>3564</v>
      </c>
      <c r="C336" s="2992">
        <v>135.18</v>
      </c>
      <c r="D336" s="2993" t="s">
        <v>3384</v>
      </c>
      <c r="E336" s="2995">
        <v>7967596</v>
      </c>
    </row>
    <row r="337" spans="1:6" s="2993" customFormat="1" ht="24">
      <c r="A337" s="3204"/>
      <c r="B337" s="2991" t="s">
        <v>3565</v>
      </c>
      <c r="C337" s="2992">
        <v>85.32</v>
      </c>
      <c r="D337" s="2993" t="s">
        <v>4487</v>
      </c>
      <c r="E337" s="2995">
        <v>2559600</v>
      </c>
      <c r="F337" s="2993">
        <f t="shared" ref="F337:F338" si="65">E337/C337</f>
        <v>30000.000000000004</v>
      </c>
    </row>
    <row r="338" spans="1:6" s="2993" customFormat="1">
      <c r="A338" s="3204"/>
      <c r="B338" s="2991" t="s">
        <v>3566</v>
      </c>
      <c r="C338" s="2992">
        <v>84.29</v>
      </c>
      <c r="D338" s="2993" t="s">
        <v>3379</v>
      </c>
      <c r="E338" s="2992">
        <v>2528700</v>
      </c>
      <c r="F338" s="2993">
        <f t="shared" si="65"/>
        <v>29999.999999999996</v>
      </c>
    </row>
    <row r="339" spans="1:6" s="2993" customFormat="1">
      <c r="A339" s="3204"/>
      <c r="B339" s="2991" t="s">
        <v>3567</v>
      </c>
      <c r="C339" s="2994">
        <v>45.51</v>
      </c>
      <c r="D339" s="2993" t="s">
        <v>3381</v>
      </c>
      <c r="E339" s="3002">
        <v>420000</v>
      </c>
    </row>
    <row r="340" spans="1:6" s="2993" customFormat="1">
      <c r="A340" s="3204"/>
      <c r="B340" s="2991" t="s">
        <v>3568</v>
      </c>
      <c r="C340" s="2994">
        <v>45.51</v>
      </c>
      <c r="D340" s="2993" t="s">
        <v>3381</v>
      </c>
      <c r="E340" s="3002">
        <v>420000</v>
      </c>
    </row>
    <row r="341" spans="1:6" s="2993" customFormat="1">
      <c r="A341" s="3204">
        <v>70</v>
      </c>
      <c r="B341" s="2991" t="s">
        <v>3569</v>
      </c>
      <c r="C341" s="2992">
        <v>136.6</v>
      </c>
      <c r="D341" s="2993" t="s">
        <v>3384</v>
      </c>
      <c r="E341" s="2995">
        <v>8470293</v>
      </c>
    </row>
    <row r="342" spans="1:6" s="2993" customFormat="1" ht="24">
      <c r="A342" s="3204"/>
      <c r="B342" s="2991" t="s">
        <v>3570</v>
      </c>
      <c r="C342" s="2992">
        <v>85.44</v>
      </c>
      <c r="D342" s="2993" t="s">
        <v>4487</v>
      </c>
      <c r="E342" s="2995">
        <v>2563200</v>
      </c>
      <c r="F342" s="2993">
        <f t="shared" ref="F342:F343" si="66">E342/C342</f>
        <v>30000</v>
      </c>
    </row>
    <row r="343" spans="1:6" s="2993" customFormat="1">
      <c r="A343" s="3204"/>
      <c r="B343" s="2991" t="s">
        <v>3571</v>
      </c>
      <c r="C343" s="2992">
        <v>84.25</v>
      </c>
      <c r="D343" s="2993" t="s">
        <v>3379</v>
      </c>
      <c r="E343" s="2992">
        <v>2527500</v>
      </c>
      <c r="F343" s="2993">
        <f t="shared" si="66"/>
        <v>30000</v>
      </c>
    </row>
    <row r="344" spans="1:6" s="2993" customFormat="1">
      <c r="A344" s="3204"/>
      <c r="B344" s="2991" t="s">
        <v>3572</v>
      </c>
      <c r="C344" s="2994">
        <v>45.51</v>
      </c>
      <c r="D344" s="2993" t="s">
        <v>3381</v>
      </c>
      <c r="E344" s="3002">
        <v>420000</v>
      </c>
    </row>
    <row r="345" spans="1:6" s="2993" customFormat="1">
      <c r="A345" s="3204"/>
      <c r="B345" s="2991" t="s">
        <v>3573</v>
      </c>
      <c r="C345" s="2994">
        <v>45.51</v>
      </c>
      <c r="D345" s="2993" t="s">
        <v>3381</v>
      </c>
      <c r="E345" s="3002">
        <v>420000</v>
      </c>
    </row>
    <row r="346" spans="1:6" s="2993" customFormat="1">
      <c r="A346" s="3204">
        <v>71</v>
      </c>
      <c r="B346" s="2991" t="s">
        <v>3574</v>
      </c>
      <c r="C346" s="2992">
        <v>134.22999999999999</v>
      </c>
      <c r="D346" s="2993" t="s">
        <v>3384</v>
      </c>
      <c r="E346" s="2995">
        <v>8404132</v>
      </c>
    </row>
    <row r="347" spans="1:6" s="2993" customFormat="1" ht="24">
      <c r="A347" s="3204"/>
      <c r="B347" s="2991" t="s">
        <v>3575</v>
      </c>
      <c r="C347" s="2992">
        <v>84.32</v>
      </c>
      <c r="D347" s="2993" t="s">
        <v>4487</v>
      </c>
      <c r="E347" s="2995">
        <v>2529600</v>
      </c>
      <c r="F347" s="2993">
        <f t="shared" ref="F347:F348" si="67">E347/C347</f>
        <v>30000.000000000004</v>
      </c>
    </row>
    <row r="348" spans="1:6" s="2993" customFormat="1">
      <c r="A348" s="3204"/>
      <c r="B348" s="2991" t="s">
        <v>3576</v>
      </c>
      <c r="C348" s="2992">
        <v>83.44</v>
      </c>
      <c r="D348" s="2993" t="s">
        <v>3379</v>
      </c>
      <c r="E348" s="2992">
        <v>2503200</v>
      </c>
      <c r="F348" s="2993">
        <f t="shared" si="67"/>
        <v>30000</v>
      </c>
    </row>
    <row r="349" spans="1:6" s="2993" customFormat="1">
      <c r="A349" s="3204"/>
      <c r="B349" s="2991" t="s">
        <v>3577</v>
      </c>
      <c r="C349" s="2994">
        <v>45.51</v>
      </c>
      <c r="D349" s="2993" t="s">
        <v>3381</v>
      </c>
      <c r="E349" s="3002">
        <v>420000</v>
      </c>
    </row>
    <row r="350" spans="1:6" s="2993" customFormat="1">
      <c r="A350" s="3204"/>
      <c r="B350" s="2991" t="s">
        <v>3578</v>
      </c>
      <c r="C350" s="2994">
        <v>45.51</v>
      </c>
      <c r="D350" s="2993" t="s">
        <v>3381</v>
      </c>
      <c r="E350" s="3002">
        <v>420000</v>
      </c>
    </row>
    <row r="351" spans="1:6" s="2993" customFormat="1">
      <c r="A351" s="3204">
        <v>72</v>
      </c>
      <c r="B351" s="2991" t="s">
        <v>3579</v>
      </c>
      <c r="C351" s="2992">
        <v>134.22999999999999</v>
      </c>
      <c r="D351" s="2993" t="s">
        <v>3384</v>
      </c>
      <c r="E351" s="2995">
        <v>7528252</v>
      </c>
    </row>
    <row r="352" spans="1:6" s="2993" customFormat="1" ht="24">
      <c r="A352" s="3204"/>
      <c r="B352" s="2991" t="s">
        <v>3580</v>
      </c>
      <c r="C352" s="2992">
        <v>84.46</v>
      </c>
      <c r="D352" s="2993" t="s">
        <v>4487</v>
      </c>
      <c r="E352" s="2995">
        <v>2533800</v>
      </c>
      <c r="F352" s="2993">
        <f t="shared" ref="F352:F353" si="68">E352/C352</f>
        <v>30000.000000000004</v>
      </c>
    </row>
    <row r="353" spans="1:6" s="2993" customFormat="1">
      <c r="A353" s="3204"/>
      <c r="B353" s="2991" t="s">
        <v>3581</v>
      </c>
      <c r="C353" s="2992">
        <v>84.16</v>
      </c>
      <c r="D353" s="2993" t="s">
        <v>3379</v>
      </c>
      <c r="E353" s="2992">
        <v>2524800</v>
      </c>
      <c r="F353" s="2993">
        <f t="shared" si="68"/>
        <v>30000</v>
      </c>
    </row>
    <row r="354" spans="1:6" s="2993" customFormat="1">
      <c r="A354" s="3204"/>
      <c r="B354" s="2991" t="s">
        <v>3582</v>
      </c>
      <c r="C354" s="2994">
        <v>45.51</v>
      </c>
      <c r="D354" s="2993" t="s">
        <v>3381</v>
      </c>
      <c r="E354" s="3002">
        <v>420000</v>
      </c>
    </row>
    <row r="355" spans="1:6" s="2993" customFormat="1">
      <c r="A355" s="3204"/>
      <c r="B355" s="2991" t="s">
        <v>3583</v>
      </c>
      <c r="C355" s="2994">
        <v>45.51</v>
      </c>
      <c r="D355" s="2993" t="s">
        <v>3381</v>
      </c>
      <c r="E355" s="3002">
        <v>420000</v>
      </c>
    </row>
    <row r="356" spans="1:6" s="2993" customFormat="1">
      <c r="A356" s="3204">
        <v>73</v>
      </c>
      <c r="B356" s="2991" t="s">
        <v>3584</v>
      </c>
      <c r="C356" s="2992">
        <v>134.22999999999999</v>
      </c>
      <c r="D356" s="2993" t="s">
        <v>3384</v>
      </c>
      <c r="E356" s="2995">
        <v>8524679</v>
      </c>
    </row>
    <row r="357" spans="1:6" s="2993" customFormat="1" ht="24">
      <c r="A357" s="3204"/>
      <c r="B357" s="2991" t="s">
        <v>3585</v>
      </c>
      <c r="C357" s="2992">
        <v>84.32</v>
      </c>
      <c r="D357" s="2993" t="s">
        <v>4487</v>
      </c>
      <c r="E357" s="2995">
        <v>2529600</v>
      </c>
      <c r="F357" s="2993">
        <f t="shared" ref="F357:F358" si="69">E357/C357</f>
        <v>30000.000000000004</v>
      </c>
    </row>
    <row r="358" spans="1:6" s="2993" customFormat="1">
      <c r="A358" s="3204"/>
      <c r="B358" s="2991" t="s">
        <v>3586</v>
      </c>
      <c r="C358" s="2992">
        <v>83.44</v>
      </c>
      <c r="D358" s="2993" t="s">
        <v>3379</v>
      </c>
      <c r="E358" s="2992">
        <v>2503200</v>
      </c>
      <c r="F358" s="2993">
        <f t="shared" si="69"/>
        <v>30000</v>
      </c>
    </row>
    <row r="359" spans="1:6" s="2993" customFormat="1">
      <c r="A359" s="3204"/>
      <c r="B359" s="2991" t="s">
        <v>3587</v>
      </c>
      <c r="C359" s="2994">
        <v>45.51</v>
      </c>
      <c r="D359" s="2993" t="s">
        <v>3381</v>
      </c>
      <c r="E359" s="3002">
        <v>420000</v>
      </c>
    </row>
    <row r="360" spans="1:6" s="2993" customFormat="1">
      <c r="A360" s="3204"/>
      <c r="B360" s="2991" t="s">
        <v>3588</v>
      </c>
      <c r="C360" s="2994">
        <v>45.51</v>
      </c>
      <c r="D360" s="2993" t="s">
        <v>3381</v>
      </c>
      <c r="E360" s="3002">
        <v>420000</v>
      </c>
    </row>
    <row r="361" spans="1:6" s="2993" customFormat="1">
      <c r="A361" s="3204">
        <v>74</v>
      </c>
      <c r="B361" s="2991" t="s">
        <v>3589</v>
      </c>
      <c r="C361" s="2992">
        <v>134.22999999999999</v>
      </c>
      <c r="D361" s="2993" t="s">
        <v>3384</v>
      </c>
      <c r="E361" s="2995">
        <v>7696291</v>
      </c>
    </row>
    <row r="362" spans="1:6" s="2993" customFormat="1" ht="24">
      <c r="A362" s="3204"/>
      <c r="B362" s="2991" t="s">
        <v>3590</v>
      </c>
      <c r="C362" s="2992">
        <v>84.46</v>
      </c>
      <c r="D362" s="2993" t="s">
        <v>4487</v>
      </c>
      <c r="E362" s="2995">
        <v>2533800</v>
      </c>
      <c r="F362" s="2993">
        <f t="shared" ref="F362:F363" si="70">E362/C362</f>
        <v>30000.000000000004</v>
      </c>
    </row>
    <row r="363" spans="1:6" s="2993" customFormat="1">
      <c r="A363" s="3204"/>
      <c r="B363" s="2991" t="s">
        <v>3591</v>
      </c>
      <c r="C363" s="2992">
        <v>84.16</v>
      </c>
      <c r="D363" s="2993" t="s">
        <v>3379</v>
      </c>
      <c r="E363" s="2992">
        <v>2524800</v>
      </c>
      <c r="F363" s="2993">
        <f t="shared" si="70"/>
        <v>30000</v>
      </c>
    </row>
    <row r="364" spans="1:6" s="2993" customFormat="1">
      <c r="A364" s="3204"/>
      <c r="B364" s="2991" t="s">
        <v>3592</v>
      </c>
      <c r="C364" s="2994">
        <v>45.51</v>
      </c>
      <c r="D364" s="2993" t="s">
        <v>3381</v>
      </c>
      <c r="E364" s="3002">
        <v>420000</v>
      </c>
    </row>
    <row r="365" spans="1:6" s="2993" customFormat="1">
      <c r="A365" s="3204"/>
      <c r="B365" s="2991" t="s">
        <v>3593</v>
      </c>
      <c r="C365" s="2994">
        <v>45.51</v>
      </c>
      <c r="D365" s="2993" t="s">
        <v>3381</v>
      </c>
      <c r="E365" s="3002">
        <v>420000</v>
      </c>
    </row>
    <row r="366" spans="1:6" s="2993" customFormat="1">
      <c r="A366" s="3204">
        <v>75</v>
      </c>
      <c r="B366" s="2991" t="s">
        <v>3594</v>
      </c>
      <c r="C366" s="2992">
        <v>134.43</v>
      </c>
      <c r="D366" s="2993" t="s">
        <v>3384</v>
      </c>
      <c r="E366" s="2995">
        <v>8091642</v>
      </c>
    </row>
    <row r="367" spans="1:6" s="2993" customFormat="1" ht="24">
      <c r="A367" s="3204"/>
      <c r="B367" s="2991" t="s">
        <v>3595</v>
      </c>
      <c r="C367" s="2992">
        <v>84.73</v>
      </c>
      <c r="D367" s="2993" t="s">
        <v>4487</v>
      </c>
      <c r="E367" s="2995">
        <v>2541900</v>
      </c>
      <c r="F367" s="2993">
        <f t="shared" ref="F367:F368" si="71">E367/C367</f>
        <v>30000</v>
      </c>
    </row>
    <row r="368" spans="1:6" s="2993" customFormat="1">
      <c r="A368" s="3204"/>
      <c r="B368" s="2991" t="s">
        <v>3596</v>
      </c>
      <c r="C368" s="2992">
        <v>84.16</v>
      </c>
      <c r="D368" s="2993" t="s">
        <v>3379</v>
      </c>
      <c r="E368" s="2992">
        <v>2524800</v>
      </c>
      <c r="F368" s="2993">
        <f t="shared" si="71"/>
        <v>30000</v>
      </c>
    </row>
    <row r="369" spans="1:6" s="2993" customFormat="1">
      <c r="A369" s="3204"/>
      <c r="B369" s="2991" t="s">
        <v>3597</v>
      </c>
      <c r="C369" s="2994">
        <v>45.51</v>
      </c>
      <c r="D369" s="2993" t="s">
        <v>3381</v>
      </c>
      <c r="E369" s="3002">
        <v>420000</v>
      </c>
    </row>
    <row r="370" spans="1:6" s="2993" customFormat="1">
      <c r="A370" s="3204"/>
      <c r="B370" s="2991" t="s">
        <v>3598</v>
      </c>
      <c r="C370" s="2994">
        <v>45.51</v>
      </c>
      <c r="D370" s="2993" t="s">
        <v>3381</v>
      </c>
      <c r="E370" s="3002">
        <v>420000</v>
      </c>
    </row>
    <row r="371" spans="1:6" s="2993" customFormat="1">
      <c r="A371" s="3204">
        <v>76</v>
      </c>
      <c r="B371" s="2991" t="s">
        <v>3599</v>
      </c>
      <c r="C371" s="2992">
        <v>134.43</v>
      </c>
      <c r="D371" s="2993" t="s">
        <v>3384</v>
      </c>
      <c r="E371" s="2995">
        <v>7923345</v>
      </c>
    </row>
    <row r="372" spans="1:6" s="2993" customFormat="1" ht="24">
      <c r="A372" s="3204"/>
      <c r="B372" s="2991" t="s">
        <v>3600</v>
      </c>
      <c r="C372" s="2992">
        <v>84.73</v>
      </c>
      <c r="D372" s="2993" t="s">
        <v>4487</v>
      </c>
      <c r="E372" s="2995">
        <v>2541900</v>
      </c>
      <c r="F372" s="2993">
        <f t="shared" ref="F372:F373" si="72">E372/C372</f>
        <v>30000</v>
      </c>
    </row>
    <row r="373" spans="1:6" s="2993" customFormat="1">
      <c r="A373" s="3204"/>
      <c r="B373" s="2991" t="s">
        <v>3601</v>
      </c>
      <c r="C373" s="2992">
        <v>84.16</v>
      </c>
      <c r="D373" s="2993" t="s">
        <v>3379</v>
      </c>
      <c r="E373" s="2992">
        <v>2524800</v>
      </c>
      <c r="F373" s="2993">
        <f t="shared" si="72"/>
        <v>30000</v>
      </c>
    </row>
    <row r="374" spans="1:6" s="2993" customFormat="1">
      <c r="A374" s="3204"/>
      <c r="B374" s="2991" t="s">
        <v>3602</v>
      </c>
      <c r="C374" s="2994">
        <v>45.51</v>
      </c>
      <c r="D374" s="2993" t="s">
        <v>3381</v>
      </c>
      <c r="E374" s="3002">
        <v>420000</v>
      </c>
    </row>
    <row r="375" spans="1:6" s="2993" customFormat="1">
      <c r="A375" s="3204"/>
      <c r="B375" s="2991" t="s">
        <v>3603</v>
      </c>
      <c r="C375" s="2994">
        <v>45.51</v>
      </c>
      <c r="D375" s="2993" t="s">
        <v>3381</v>
      </c>
      <c r="E375" s="3002">
        <v>420000</v>
      </c>
    </row>
    <row r="376" spans="1:6" s="2993" customFormat="1">
      <c r="A376" s="3204">
        <v>77</v>
      </c>
      <c r="B376" s="2991" t="s">
        <v>3604</v>
      </c>
      <c r="C376" s="2992">
        <v>134.43</v>
      </c>
      <c r="D376" s="2993" t="s">
        <v>3384</v>
      </c>
      <c r="E376" s="2995">
        <v>8091642</v>
      </c>
    </row>
    <row r="377" spans="1:6" s="2993" customFormat="1" ht="24">
      <c r="A377" s="3204"/>
      <c r="B377" s="2991" t="s">
        <v>3605</v>
      </c>
      <c r="C377" s="2992">
        <v>84.73</v>
      </c>
      <c r="D377" s="2993" t="s">
        <v>4487</v>
      </c>
      <c r="E377" s="2995">
        <v>2541900</v>
      </c>
      <c r="F377" s="2993">
        <f t="shared" ref="F377:F378" si="73">E377/C377</f>
        <v>30000</v>
      </c>
    </row>
    <row r="378" spans="1:6" s="2993" customFormat="1">
      <c r="A378" s="3204"/>
      <c r="B378" s="2991" t="s">
        <v>3606</v>
      </c>
      <c r="C378" s="2992">
        <v>84.16</v>
      </c>
      <c r="D378" s="2993" t="s">
        <v>3379</v>
      </c>
      <c r="E378" s="2992">
        <v>2524800</v>
      </c>
      <c r="F378" s="2993">
        <f t="shared" si="73"/>
        <v>30000</v>
      </c>
    </row>
    <row r="379" spans="1:6" s="2993" customFormat="1">
      <c r="A379" s="3204"/>
      <c r="B379" s="2991" t="s">
        <v>3607</v>
      </c>
      <c r="C379" s="2994">
        <v>45.51</v>
      </c>
      <c r="D379" s="2993" t="s">
        <v>3381</v>
      </c>
      <c r="E379" s="3002">
        <v>420000</v>
      </c>
    </row>
    <row r="380" spans="1:6" s="2993" customFormat="1">
      <c r="A380" s="3204"/>
      <c r="B380" s="2991" t="s">
        <v>3608</v>
      </c>
      <c r="C380" s="2994">
        <v>45.51</v>
      </c>
      <c r="D380" s="2993" t="s">
        <v>3381</v>
      </c>
      <c r="E380" s="3002">
        <v>420000</v>
      </c>
    </row>
    <row r="381" spans="1:6" s="2993" customFormat="1">
      <c r="A381" s="3204">
        <v>78</v>
      </c>
      <c r="B381" s="2991" t="s">
        <v>3609</v>
      </c>
      <c r="C381" s="2992">
        <v>134.29</v>
      </c>
      <c r="D381" s="2993" t="s">
        <v>3384</v>
      </c>
      <c r="E381" s="2995">
        <v>8324774</v>
      </c>
    </row>
    <row r="382" spans="1:6" s="2993" customFormat="1" ht="24">
      <c r="A382" s="3204"/>
      <c r="B382" s="2991" t="s">
        <v>3610</v>
      </c>
      <c r="C382" s="2992">
        <v>84.35</v>
      </c>
      <c r="D382" s="2993" t="s">
        <v>4487</v>
      </c>
      <c r="E382" s="2995">
        <v>2530500</v>
      </c>
      <c r="F382" s="2993">
        <f t="shared" ref="F382:F383" si="74">E382/C382</f>
        <v>30000.000000000004</v>
      </c>
    </row>
    <row r="383" spans="1:6" s="2993" customFormat="1">
      <c r="A383" s="3204"/>
      <c r="B383" s="2991" t="s">
        <v>3611</v>
      </c>
      <c r="C383" s="2992">
        <v>83.45</v>
      </c>
      <c r="D383" s="2993" t="s">
        <v>3379</v>
      </c>
      <c r="E383" s="2992">
        <v>2503500</v>
      </c>
      <c r="F383" s="2993">
        <f t="shared" si="74"/>
        <v>30000</v>
      </c>
    </row>
    <row r="384" spans="1:6" s="2993" customFormat="1">
      <c r="A384" s="3204"/>
      <c r="B384" s="2991" t="s">
        <v>3612</v>
      </c>
      <c r="C384" s="2994">
        <v>45.51</v>
      </c>
      <c r="D384" s="2993" t="s">
        <v>3381</v>
      </c>
      <c r="E384" s="3002">
        <v>420000</v>
      </c>
    </row>
    <row r="385" spans="1:6" s="2993" customFormat="1">
      <c r="A385" s="3204"/>
      <c r="B385" s="2991" t="s">
        <v>3613</v>
      </c>
      <c r="C385" s="2994">
        <v>45.51</v>
      </c>
      <c r="D385" s="2993" t="s">
        <v>3381</v>
      </c>
      <c r="E385" s="3002">
        <v>420000</v>
      </c>
    </row>
    <row r="386" spans="1:6" s="2993" customFormat="1">
      <c r="A386" s="3204">
        <v>79</v>
      </c>
      <c r="B386" s="2991" t="s">
        <v>3614</v>
      </c>
      <c r="C386" s="2992">
        <v>134.28</v>
      </c>
      <c r="D386" s="2993" t="s">
        <v>3384</v>
      </c>
      <c r="E386" s="2995">
        <v>7531087</v>
      </c>
    </row>
    <row r="387" spans="1:6" s="2993" customFormat="1" ht="24">
      <c r="A387" s="3204"/>
      <c r="B387" s="2991" t="s">
        <v>3615</v>
      </c>
      <c r="C387" s="2992">
        <v>84.49</v>
      </c>
      <c r="D387" s="2993" t="s">
        <v>4487</v>
      </c>
      <c r="E387" s="2995">
        <v>2534700</v>
      </c>
      <c r="F387" s="2993">
        <f t="shared" ref="F387:F388" si="75">E387/C387</f>
        <v>30000</v>
      </c>
    </row>
    <row r="388" spans="1:6" s="2993" customFormat="1">
      <c r="A388" s="3204"/>
      <c r="B388" s="2991" t="s">
        <v>3616</v>
      </c>
      <c r="C388" s="2992">
        <v>84.17</v>
      </c>
      <c r="D388" s="2993" t="s">
        <v>3379</v>
      </c>
      <c r="E388" s="2992">
        <v>2525100</v>
      </c>
      <c r="F388" s="2993">
        <f t="shared" si="75"/>
        <v>30000</v>
      </c>
    </row>
    <row r="389" spans="1:6" s="2993" customFormat="1">
      <c r="A389" s="3204"/>
      <c r="B389" s="2991" t="s">
        <v>3617</v>
      </c>
      <c r="C389" s="2994">
        <v>45.51</v>
      </c>
      <c r="D389" s="2993" t="s">
        <v>3381</v>
      </c>
      <c r="E389" s="3002">
        <v>420000</v>
      </c>
    </row>
    <row r="390" spans="1:6" s="2993" customFormat="1">
      <c r="A390" s="3204"/>
      <c r="B390" s="2991" t="s">
        <v>3618</v>
      </c>
      <c r="C390" s="2994">
        <v>45.51</v>
      </c>
      <c r="D390" s="2993" t="s">
        <v>3381</v>
      </c>
      <c r="E390" s="3002">
        <v>420000</v>
      </c>
    </row>
    <row r="391" spans="1:6" s="2993" customFormat="1">
      <c r="A391" s="3204">
        <v>80</v>
      </c>
      <c r="B391" s="2991" t="s">
        <v>3619</v>
      </c>
      <c r="C391" s="2992">
        <v>134.47</v>
      </c>
      <c r="D391" s="2993" t="s">
        <v>3384</v>
      </c>
      <c r="E391" s="2995">
        <v>7925703</v>
      </c>
    </row>
    <row r="392" spans="1:6" s="2993" customFormat="1" ht="24">
      <c r="A392" s="3204"/>
      <c r="B392" s="2991" t="s">
        <v>3620</v>
      </c>
      <c r="C392" s="2992">
        <v>84.77</v>
      </c>
      <c r="D392" s="2993" t="s">
        <v>4487</v>
      </c>
      <c r="E392" s="2995">
        <v>2543100</v>
      </c>
      <c r="F392" s="2993">
        <f t="shared" ref="F392:F393" si="76">E392/C392</f>
        <v>30000</v>
      </c>
    </row>
    <row r="393" spans="1:6" s="2993" customFormat="1">
      <c r="A393" s="3204"/>
      <c r="B393" s="2991" t="s">
        <v>3621</v>
      </c>
      <c r="C393" s="2992">
        <v>84.17</v>
      </c>
      <c r="D393" s="2993" t="s">
        <v>3379</v>
      </c>
      <c r="E393" s="2992">
        <v>2525100</v>
      </c>
      <c r="F393" s="2993">
        <f t="shared" si="76"/>
        <v>30000</v>
      </c>
    </row>
    <row r="394" spans="1:6" s="2993" customFormat="1">
      <c r="A394" s="3204"/>
      <c r="B394" s="2991" t="s">
        <v>3622</v>
      </c>
      <c r="C394" s="2994">
        <v>45.51</v>
      </c>
      <c r="D394" s="2993" t="s">
        <v>3381</v>
      </c>
      <c r="E394" s="3002">
        <v>420000</v>
      </c>
    </row>
    <row r="395" spans="1:6" s="2993" customFormat="1">
      <c r="A395" s="3204"/>
      <c r="B395" s="2991" t="s">
        <v>3623</v>
      </c>
      <c r="C395" s="2994">
        <v>45.51</v>
      </c>
      <c r="D395" s="2993" t="s">
        <v>3381</v>
      </c>
      <c r="E395" s="3002">
        <v>420000</v>
      </c>
    </row>
    <row r="396" spans="1:6" s="2993" customFormat="1">
      <c r="A396" s="3204">
        <v>81</v>
      </c>
      <c r="B396" s="2991" t="s">
        <v>3624</v>
      </c>
      <c r="C396" s="2992">
        <v>134.47</v>
      </c>
      <c r="D396" s="2993" t="s">
        <v>3238</v>
      </c>
      <c r="E396" s="2995">
        <v>8094049</v>
      </c>
    </row>
    <row r="397" spans="1:6" s="2993" customFormat="1" ht="24">
      <c r="A397" s="3204"/>
      <c r="B397" s="2991" t="s">
        <v>3625</v>
      </c>
      <c r="C397" s="2992">
        <v>84.77</v>
      </c>
      <c r="D397" s="2993" t="s">
        <v>4487</v>
      </c>
      <c r="E397" s="2995">
        <v>2543100</v>
      </c>
      <c r="F397" s="2993">
        <f t="shared" ref="F397:F398" si="77">E397/C397</f>
        <v>30000</v>
      </c>
    </row>
    <row r="398" spans="1:6" s="2993" customFormat="1">
      <c r="A398" s="3204"/>
      <c r="B398" s="2991" t="s">
        <v>3626</v>
      </c>
      <c r="C398" s="2992">
        <v>84.17</v>
      </c>
      <c r="D398" s="2993" t="s">
        <v>3241</v>
      </c>
      <c r="E398" s="2992">
        <v>2525100</v>
      </c>
      <c r="F398" s="2993">
        <f t="shared" si="77"/>
        <v>30000</v>
      </c>
    </row>
    <row r="399" spans="1:6" s="2993" customFormat="1">
      <c r="A399" s="3204"/>
      <c r="B399" s="2991" t="s">
        <v>3627</v>
      </c>
      <c r="C399" s="2994">
        <v>45.51</v>
      </c>
      <c r="D399" s="2993" t="s">
        <v>3235</v>
      </c>
      <c r="E399" s="3002">
        <v>420000</v>
      </c>
    </row>
    <row r="400" spans="1:6" s="2993" customFormat="1">
      <c r="A400" s="3204"/>
      <c r="B400" s="2991" t="s">
        <v>3628</v>
      </c>
      <c r="C400" s="2994">
        <v>45.51</v>
      </c>
      <c r="D400" s="2993" t="s">
        <v>3235</v>
      </c>
      <c r="E400" s="3002">
        <v>420000</v>
      </c>
    </row>
    <row r="401" spans="1:6" s="2993" customFormat="1">
      <c r="A401" s="3204">
        <v>82</v>
      </c>
      <c r="B401" s="2991" t="s">
        <v>3629</v>
      </c>
      <c r="C401" s="2992">
        <v>134.47</v>
      </c>
      <c r="D401" s="2993" t="s">
        <v>3238</v>
      </c>
      <c r="E401" s="2995">
        <v>7925703</v>
      </c>
    </row>
    <row r="402" spans="1:6" s="2993" customFormat="1" ht="24">
      <c r="A402" s="3204"/>
      <c r="B402" s="2991" t="s">
        <v>3630</v>
      </c>
      <c r="C402" s="2992">
        <v>84.77</v>
      </c>
      <c r="D402" s="2993" t="s">
        <v>4487</v>
      </c>
      <c r="E402" s="2995">
        <v>2543100</v>
      </c>
      <c r="F402" s="2993">
        <f t="shared" ref="F402:F403" si="78">E402/C402</f>
        <v>30000</v>
      </c>
    </row>
    <row r="403" spans="1:6" s="2993" customFormat="1">
      <c r="A403" s="3204"/>
      <c r="B403" s="2991" t="s">
        <v>3631</v>
      </c>
      <c r="C403" s="2992">
        <v>84.17</v>
      </c>
      <c r="D403" s="2993" t="s">
        <v>3241</v>
      </c>
      <c r="E403" s="2992">
        <v>2525100</v>
      </c>
      <c r="F403" s="2993">
        <f t="shared" si="78"/>
        <v>30000</v>
      </c>
    </row>
    <row r="404" spans="1:6" s="2993" customFormat="1">
      <c r="A404" s="3204"/>
      <c r="B404" s="2991" t="s">
        <v>3632</v>
      </c>
      <c r="C404" s="2994">
        <v>45.51</v>
      </c>
      <c r="D404" s="2993" t="s">
        <v>3235</v>
      </c>
      <c r="E404" s="3002">
        <v>420000</v>
      </c>
    </row>
    <row r="405" spans="1:6" s="2993" customFormat="1">
      <c r="A405" s="3204"/>
      <c r="B405" s="2991" t="s">
        <v>3633</v>
      </c>
      <c r="C405" s="2994">
        <v>45.51</v>
      </c>
      <c r="D405" s="2993" t="s">
        <v>3254</v>
      </c>
      <c r="E405" s="3002">
        <v>420000</v>
      </c>
    </row>
    <row r="406" spans="1:6" s="2993" customFormat="1">
      <c r="A406" s="3204">
        <v>83</v>
      </c>
      <c r="B406" s="2991" t="s">
        <v>3634</v>
      </c>
      <c r="C406" s="2992">
        <v>134.28</v>
      </c>
      <c r="D406" s="2993" t="s">
        <v>3257</v>
      </c>
      <c r="E406" s="2995">
        <v>7699179</v>
      </c>
    </row>
    <row r="407" spans="1:6" s="2993" customFormat="1" ht="24">
      <c r="A407" s="3204"/>
      <c r="B407" s="2991" t="s">
        <v>3635</v>
      </c>
      <c r="C407" s="2992">
        <v>84.49</v>
      </c>
      <c r="D407" s="2993" t="s">
        <v>4487</v>
      </c>
      <c r="E407" s="2995">
        <v>2534700</v>
      </c>
      <c r="F407" s="2993">
        <f t="shared" ref="F407:F408" si="79">E407/C407</f>
        <v>30000</v>
      </c>
    </row>
    <row r="408" spans="1:6" s="2993" customFormat="1">
      <c r="A408" s="3204"/>
      <c r="B408" s="2991" t="s">
        <v>3636</v>
      </c>
      <c r="C408" s="2992">
        <v>84.17</v>
      </c>
      <c r="D408" s="2993" t="s">
        <v>3252</v>
      </c>
      <c r="E408" s="2992">
        <v>2525100</v>
      </c>
      <c r="F408" s="2993">
        <f t="shared" si="79"/>
        <v>30000</v>
      </c>
    </row>
    <row r="409" spans="1:6" s="2993" customFormat="1">
      <c r="A409" s="3204"/>
      <c r="B409" s="2991" t="s">
        <v>3637</v>
      </c>
      <c r="C409" s="2994">
        <v>45.51</v>
      </c>
      <c r="D409" s="2993" t="s">
        <v>3254</v>
      </c>
      <c r="E409" s="3002">
        <v>420000</v>
      </c>
    </row>
    <row r="410" spans="1:6" s="2993" customFormat="1">
      <c r="A410" s="3204"/>
      <c r="B410" s="2991" t="s">
        <v>3638</v>
      </c>
      <c r="C410" s="2994">
        <v>45.51</v>
      </c>
      <c r="D410" s="2993" t="s">
        <v>3254</v>
      </c>
      <c r="E410" s="3002">
        <v>420000</v>
      </c>
    </row>
    <row r="411" spans="1:6" s="2993" customFormat="1">
      <c r="A411" s="3204">
        <v>84</v>
      </c>
      <c r="B411" s="2991" t="s">
        <v>3639</v>
      </c>
      <c r="C411" s="2992">
        <v>134.16999999999999</v>
      </c>
      <c r="D411" s="2993" t="s">
        <v>3257</v>
      </c>
      <c r="E411" s="2995">
        <v>7524852</v>
      </c>
    </row>
    <row r="412" spans="1:6" s="2993" customFormat="1" ht="24">
      <c r="A412" s="3204"/>
      <c r="B412" s="2991" t="s">
        <v>3640</v>
      </c>
      <c r="C412" s="2992">
        <v>84.42</v>
      </c>
      <c r="D412" s="2993" t="s">
        <v>4487</v>
      </c>
      <c r="E412" s="2995">
        <v>2532600</v>
      </c>
      <c r="F412" s="2993">
        <f t="shared" ref="F412:F413" si="80">E412/C412</f>
        <v>30000</v>
      </c>
    </row>
    <row r="413" spans="1:6" s="2993" customFormat="1">
      <c r="A413" s="3204"/>
      <c r="B413" s="2991" t="s">
        <v>3641</v>
      </c>
      <c r="C413" s="2992">
        <v>84.15</v>
      </c>
      <c r="D413" s="2993" t="s">
        <v>3252</v>
      </c>
      <c r="E413" s="2992">
        <v>2524500</v>
      </c>
      <c r="F413" s="2993">
        <f t="shared" si="80"/>
        <v>29999.999999999996</v>
      </c>
    </row>
    <row r="414" spans="1:6" s="2993" customFormat="1">
      <c r="A414" s="3204"/>
      <c r="B414" s="2991" t="s">
        <v>3642</v>
      </c>
      <c r="C414" s="2994">
        <v>45.51</v>
      </c>
      <c r="D414" s="2993" t="s">
        <v>3254</v>
      </c>
      <c r="E414" s="3002">
        <v>420000</v>
      </c>
    </row>
    <row r="415" spans="1:6" s="2993" customFormat="1">
      <c r="A415" s="3204"/>
      <c r="B415" s="2991" t="s">
        <v>3643</v>
      </c>
      <c r="C415" s="2994">
        <v>45.51</v>
      </c>
      <c r="D415" s="2993" t="s">
        <v>3254</v>
      </c>
      <c r="E415" s="3002">
        <v>420000</v>
      </c>
    </row>
    <row r="416" spans="1:6" s="2993" customFormat="1">
      <c r="A416" s="3204">
        <v>85</v>
      </c>
      <c r="B416" s="2991" t="s">
        <v>3644</v>
      </c>
      <c r="C416" s="2992">
        <v>134.36000000000001</v>
      </c>
      <c r="D416" s="2993" t="s">
        <v>3257</v>
      </c>
      <c r="E416" s="2995">
        <v>7919210</v>
      </c>
    </row>
    <row r="417" spans="1:6" s="2993" customFormat="1" ht="24">
      <c r="A417" s="3204"/>
      <c r="B417" s="2991" t="s">
        <v>3645</v>
      </c>
      <c r="C417" s="2992">
        <v>84.7</v>
      </c>
      <c r="D417" s="2993" t="s">
        <v>4487</v>
      </c>
      <c r="E417" s="2995">
        <v>2541000</v>
      </c>
      <c r="F417" s="2993">
        <f t="shared" ref="F417:F418" si="81">E417/C417</f>
        <v>30000</v>
      </c>
    </row>
    <row r="418" spans="1:6" s="2993" customFormat="1">
      <c r="A418" s="3204"/>
      <c r="B418" s="2991" t="s">
        <v>3646</v>
      </c>
      <c r="C418" s="2992">
        <v>84.15</v>
      </c>
      <c r="D418" s="2993" t="s">
        <v>3241</v>
      </c>
      <c r="E418" s="2992">
        <v>2524500</v>
      </c>
      <c r="F418" s="2993">
        <f t="shared" si="81"/>
        <v>29999.999999999996</v>
      </c>
    </row>
    <row r="419" spans="1:6" s="2993" customFormat="1">
      <c r="A419" s="3204"/>
      <c r="B419" s="2991" t="s">
        <v>3647</v>
      </c>
      <c r="C419" s="2994">
        <v>45.51</v>
      </c>
      <c r="D419" s="2993" t="s">
        <v>3235</v>
      </c>
      <c r="E419" s="3002">
        <v>420000</v>
      </c>
    </row>
    <row r="420" spans="1:6" s="2993" customFormat="1">
      <c r="A420" s="3204"/>
      <c r="B420" s="2991" t="s">
        <v>3648</v>
      </c>
      <c r="C420" s="2994">
        <v>45.51</v>
      </c>
      <c r="D420" s="2993" t="s">
        <v>3235</v>
      </c>
      <c r="E420" s="3002">
        <v>420000</v>
      </c>
    </row>
    <row r="421" spans="1:6" s="2993" customFormat="1">
      <c r="A421" s="3204">
        <v>86</v>
      </c>
      <c r="B421" s="2991" t="s">
        <v>3649</v>
      </c>
      <c r="C421" s="2992">
        <v>134.36000000000001</v>
      </c>
      <c r="D421" s="2993" t="s">
        <v>3238</v>
      </c>
      <c r="E421" s="2995">
        <v>8087437</v>
      </c>
    </row>
    <row r="422" spans="1:6" s="2993" customFormat="1" ht="24">
      <c r="A422" s="3204"/>
      <c r="B422" s="2991" t="s">
        <v>3650</v>
      </c>
      <c r="C422" s="2992">
        <v>84.7</v>
      </c>
      <c r="D422" s="2993" t="s">
        <v>4487</v>
      </c>
      <c r="E422" s="2995">
        <v>2541000</v>
      </c>
      <c r="F422" s="2993">
        <f t="shared" ref="F422:F423" si="82">E422/C422</f>
        <v>30000</v>
      </c>
    </row>
    <row r="423" spans="1:6" s="2993" customFormat="1">
      <c r="A423" s="3204"/>
      <c r="B423" s="2991" t="s">
        <v>3651</v>
      </c>
      <c r="C423" s="2992">
        <v>84.15</v>
      </c>
      <c r="D423" s="2993" t="s">
        <v>3241</v>
      </c>
      <c r="E423" s="2992">
        <v>2524500</v>
      </c>
      <c r="F423" s="2993">
        <f t="shared" si="82"/>
        <v>29999.999999999996</v>
      </c>
    </row>
    <row r="424" spans="1:6" s="2993" customFormat="1">
      <c r="A424" s="3204"/>
      <c r="B424" s="2991" t="s">
        <v>3652</v>
      </c>
      <c r="C424" s="2994">
        <v>45.51</v>
      </c>
      <c r="D424" s="2993" t="s">
        <v>3235</v>
      </c>
      <c r="E424" s="3002">
        <v>420000</v>
      </c>
    </row>
    <row r="425" spans="1:6" s="2993" customFormat="1">
      <c r="A425" s="3204"/>
      <c r="B425" s="2991" t="s">
        <v>3653</v>
      </c>
      <c r="C425" s="2994">
        <v>45.51</v>
      </c>
      <c r="D425" s="2993" t="s">
        <v>3235</v>
      </c>
      <c r="E425" s="3002">
        <v>420000</v>
      </c>
    </row>
    <row r="426" spans="1:6" s="2993" customFormat="1">
      <c r="A426" s="3204">
        <v>87</v>
      </c>
      <c r="B426" s="2991" t="s">
        <v>3654</v>
      </c>
      <c r="C426" s="2992">
        <v>134.75</v>
      </c>
      <c r="D426" s="2993" t="s">
        <v>3238</v>
      </c>
      <c r="E426" s="2995">
        <v>7841002</v>
      </c>
    </row>
    <row r="427" spans="1:6" s="2993" customFormat="1" ht="24">
      <c r="A427" s="3204"/>
      <c r="B427" s="2991" t="s">
        <v>3655</v>
      </c>
      <c r="C427" s="2992">
        <v>84.95</v>
      </c>
      <c r="D427" s="2993" t="s">
        <v>4487</v>
      </c>
      <c r="E427" s="2995">
        <v>2548500</v>
      </c>
      <c r="F427" s="2993">
        <f t="shared" ref="F427:F428" si="83">E427/C427</f>
        <v>30000</v>
      </c>
    </row>
    <row r="428" spans="1:6" s="2993" customFormat="1">
      <c r="A428" s="3204"/>
      <c r="B428" s="2991" t="s">
        <v>3656</v>
      </c>
      <c r="C428" s="2992">
        <v>84.31</v>
      </c>
      <c r="D428" s="2993" t="s">
        <v>3241</v>
      </c>
      <c r="E428" s="2992">
        <v>2529300</v>
      </c>
      <c r="F428" s="2993">
        <f t="shared" si="83"/>
        <v>30000</v>
      </c>
    </row>
    <row r="429" spans="1:6" s="2993" customFormat="1">
      <c r="A429" s="3204"/>
      <c r="B429" s="2991" t="s">
        <v>3657</v>
      </c>
      <c r="C429" s="2994">
        <v>45.51</v>
      </c>
      <c r="D429" s="2993" t="s">
        <v>3235</v>
      </c>
      <c r="E429" s="3002">
        <v>420000</v>
      </c>
    </row>
    <row r="430" spans="1:6" s="2993" customFormat="1">
      <c r="A430" s="3204"/>
      <c r="B430" s="2991" t="s">
        <v>3658</v>
      </c>
      <c r="C430" s="2994">
        <v>45.51</v>
      </c>
      <c r="D430" s="2993" t="s">
        <v>3235</v>
      </c>
      <c r="E430" s="3002">
        <v>420000</v>
      </c>
    </row>
    <row r="431" spans="1:6" s="2993" customFormat="1">
      <c r="A431" s="3204">
        <v>88</v>
      </c>
      <c r="B431" s="2991" t="s">
        <v>3659</v>
      </c>
      <c r="C431" s="2992">
        <v>138.47999999999999</v>
      </c>
      <c r="D431" s="2993" t="s">
        <v>3238</v>
      </c>
      <c r="E431" s="2995">
        <v>8794588</v>
      </c>
    </row>
    <row r="432" spans="1:6" s="2993" customFormat="1" ht="24">
      <c r="A432" s="3204"/>
      <c r="B432" s="2991" t="s">
        <v>3660</v>
      </c>
      <c r="C432" s="2992">
        <v>86.63</v>
      </c>
      <c r="D432" s="2993" t="s">
        <v>4487</v>
      </c>
      <c r="E432" s="2995">
        <v>2598900</v>
      </c>
      <c r="F432" s="2993">
        <f t="shared" ref="F432:F433" si="84">E432/C432</f>
        <v>30000</v>
      </c>
    </row>
    <row r="433" spans="1:6" s="2993" customFormat="1">
      <c r="A433" s="3204"/>
      <c r="B433" s="2991" t="s">
        <v>3661</v>
      </c>
      <c r="C433" s="2992">
        <v>85.08</v>
      </c>
      <c r="D433" s="2993" t="s">
        <v>3241</v>
      </c>
      <c r="E433" s="2992">
        <v>2552400</v>
      </c>
      <c r="F433" s="2993">
        <f t="shared" si="84"/>
        <v>30000</v>
      </c>
    </row>
    <row r="434" spans="1:6" s="2993" customFormat="1">
      <c r="A434" s="3204"/>
      <c r="B434" s="2991" t="s">
        <v>3662</v>
      </c>
      <c r="C434" s="2994">
        <v>45.51</v>
      </c>
      <c r="D434" s="2993" t="s">
        <v>3235</v>
      </c>
      <c r="E434" s="3002">
        <v>420000</v>
      </c>
    </row>
    <row r="435" spans="1:6" s="2993" customFormat="1">
      <c r="A435" s="3204"/>
      <c r="B435" s="2991" t="s">
        <v>3663</v>
      </c>
      <c r="C435" s="2994">
        <v>45.51</v>
      </c>
      <c r="D435" s="2993" t="s">
        <v>3235</v>
      </c>
      <c r="E435" s="3002">
        <v>420000</v>
      </c>
    </row>
    <row r="436" spans="1:6" s="2993" customFormat="1">
      <c r="A436" s="3204">
        <v>89</v>
      </c>
      <c r="B436" s="2991" t="s">
        <v>3664</v>
      </c>
      <c r="C436" s="2992">
        <v>138.47999999999999</v>
      </c>
      <c r="D436" s="2993" t="s">
        <v>3238</v>
      </c>
      <c r="E436" s="2995">
        <v>8794588</v>
      </c>
    </row>
    <row r="437" spans="1:6" s="2993" customFormat="1" ht="24">
      <c r="A437" s="3204"/>
      <c r="B437" s="2991" t="s">
        <v>3665</v>
      </c>
      <c r="C437" s="2992">
        <v>86.77</v>
      </c>
      <c r="D437" s="2993" t="s">
        <v>4487</v>
      </c>
      <c r="E437" s="2995">
        <v>2603100</v>
      </c>
      <c r="F437" s="2993">
        <f t="shared" ref="F437:F438" si="85">E437/C437</f>
        <v>30000</v>
      </c>
    </row>
    <row r="438" spans="1:6" s="2993" customFormat="1">
      <c r="A438" s="3204"/>
      <c r="B438" s="2991" t="s">
        <v>3666</v>
      </c>
      <c r="C438" s="2992">
        <v>85.08</v>
      </c>
      <c r="D438" s="2993" t="s">
        <v>3241</v>
      </c>
      <c r="E438" s="2992">
        <v>2552400</v>
      </c>
      <c r="F438" s="2993">
        <f t="shared" si="85"/>
        <v>30000</v>
      </c>
    </row>
    <row r="439" spans="1:6" s="2993" customFormat="1">
      <c r="A439" s="3204"/>
      <c r="B439" s="2991" t="s">
        <v>3667</v>
      </c>
      <c r="C439" s="2994">
        <v>45.51</v>
      </c>
      <c r="D439" s="2993" t="s">
        <v>3235</v>
      </c>
      <c r="E439" s="3002">
        <v>420000</v>
      </c>
    </row>
    <row r="440" spans="1:6" s="2993" customFormat="1">
      <c r="A440" s="3204"/>
      <c r="B440" s="2991" t="s">
        <v>3668</v>
      </c>
      <c r="C440" s="2994">
        <v>45.51</v>
      </c>
      <c r="D440" s="2993" t="s">
        <v>3235</v>
      </c>
      <c r="E440" s="3002">
        <v>420000</v>
      </c>
    </row>
    <row r="441" spans="1:6" s="2993" customFormat="1">
      <c r="A441" s="3204">
        <v>90</v>
      </c>
      <c r="B441" s="2991" t="s">
        <v>3669</v>
      </c>
      <c r="C441" s="2992">
        <v>138.68</v>
      </c>
      <c r="D441" s="2993" t="s">
        <v>3238</v>
      </c>
      <c r="E441" s="2995">
        <v>8807289</v>
      </c>
    </row>
    <row r="442" spans="1:6" s="2993" customFormat="1" ht="24">
      <c r="A442" s="3204"/>
      <c r="B442" s="2991" t="s">
        <v>3670</v>
      </c>
      <c r="C442" s="2992">
        <v>87.14</v>
      </c>
      <c r="D442" s="2993" t="s">
        <v>4487</v>
      </c>
      <c r="E442" s="2995">
        <v>2614200</v>
      </c>
      <c r="F442" s="2993">
        <f t="shared" ref="F442:F443" si="86">E442/C442</f>
        <v>30000</v>
      </c>
    </row>
    <row r="443" spans="1:6" s="2993" customFormat="1">
      <c r="A443" s="3204"/>
      <c r="B443" s="2991" t="s">
        <v>3671</v>
      </c>
      <c r="C443" s="2992">
        <v>85.08</v>
      </c>
      <c r="D443" s="2993" t="s">
        <v>3241</v>
      </c>
      <c r="E443" s="2992">
        <v>2552400</v>
      </c>
      <c r="F443" s="2993">
        <f t="shared" si="86"/>
        <v>30000</v>
      </c>
    </row>
    <row r="444" spans="1:6" s="2993" customFormat="1">
      <c r="A444" s="3204"/>
      <c r="B444" s="2991" t="s">
        <v>3672</v>
      </c>
      <c r="C444" s="2994">
        <v>45.51</v>
      </c>
      <c r="D444" s="2993" t="s">
        <v>3235</v>
      </c>
      <c r="E444" s="3002">
        <v>420000</v>
      </c>
    </row>
    <row r="445" spans="1:6" s="2993" customFormat="1">
      <c r="A445" s="3204"/>
      <c r="B445" s="2991" t="s">
        <v>3673</v>
      </c>
      <c r="C445" s="2994">
        <v>45.51</v>
      </c>
      <c r="D445" s="2993" t="s">
        <v>3235</v>
      </c>
      <c r="E445" s="3002">
        <v>420000</v>
      </c>
    </row>
    <row r="446" spans="1:6" s="2993" customFormat="1">
      <c r="A446" s="3204">
        <v>91</v>
      </c>
      <c r="B446" s="2991" t="s">
        <v>3674</v>
      </c>
      <c r="C446" s="2996">
        <v>134.22999999999999</v>
      </c>
      <c r="D446" s="2993" t="s">
        <v>3238</v>
      </c>
      <c r="E446" s="2996">
        <v>8220435</v>
      </c>
    </row>
    <row r="447" spans="1:6" s="2993" customFormat="1" ht="24">
      <c r="A447" s="3204"/>
      <c r="B447" s="2991" t="s">
        <v>3675</v>
      </c>
      <c r="C447" s="2996">
        <v>84.32</v>
      </c>
      <c r="D447" s="2993" t="s">
        <v>4487</v>
      </c>
      <c r="E447" s="2996">
        <v>2529600</v>
      </c>
      <c r="F447" s="2993">
        <f t="shared" ref="F447:F448" si="87">E447/C447</f>
        <v>30000.000000000004</v>
      </c>
    </row>
    <row r="448" spans="1:6" s="2993" customFormat="1">
      <c r="A448" s="3204"/>
      <c r="B448" s="2991" t="s">
        <v>3676</v>
      </c>
      <c r="C448" s="2996">
        <v>83.44</v>
      </c>
      <c r="D448" s="2993" t="s">
        <v>3252</v>
      </c>
      <c r="E448" s="2996">
        <v>2503200</v>
      </c>
      <c r="F448" s="2993">
        <f t="shared" si="87"/>
        <v>30000</v>
      </c>
    </row>
    <row r="449" spans="1:6" s="2993" customFormat="1">
      <c r="A449" s="3204"/>
      <c r="B449" s="2991" t="s">
        <v>3677</v>
      </c>
      <c r="C449" s="2994">
        <v>45.51</v>
      </c>
      <c r="D449" s="2993" t="s">
        <v>3254</v>
      </c>
      <c r="E449" s="3002">
        <v>420000</v>
      </c>
    </row>
    <row r="450" spans="1:6" s="2993" customFormat="1">
      <c r="A450" s="3204"/>
      <c r="B450" s="2991" t="s">
        <v>3678</v>
      </c>
      <c r="C450" s="2994">
        <v>45.51</v>
      </c>
      <c r="D450" s="2993" t="s">
        <v>3254</v>
      </c>
      <c r="E450" s="3002">
        <v>420000</v>
      </c>
    </row>
    <row r="451" spans="1:6" s="2993" customFormat="1">
      <c r="A451" s="3204">
        <v>92</v>
      </c>
      <c r="B451" s="2991" t="s">
        <v>3679</v>
      </c>
      <c r="C451" s="2996">
        <v>134.43</v>
      </c>
      <c r="D451" s="2993" t="s">
        <v>3257</v>
      </c>
      <c r="E451" s="2996">
        <v>7822368</v>
      </c>
    </row>
    <row r="452" spans="1:6" s="2993" customFormat="1" ht="24">
      <c r="A452" s="3204"/>
      <c r="B452" s="2991" t="s">
        <v>3680</v>
      </c>
      <c r="C452" s="2996">
        <v>84.73</v>
      </c>
      <c r="D452" s="2993" t="s">
        <v>4487</v>
      </c>
      <c r="E452" s="2996">
        <v>2541900</v>
      </c>
      <c r="F452" s="2993">
        <f t="shared" ref="F452:F453" si="88">E452/C452</f>
        <v>30000</v>
      </c>
    </row>
    <row r="453" spans="1:6" s="2993" customFormat="1">
      <c r="A453" s="3204"/>
      <c r="B453" s="2991" t="s">
        <v>3681</v>
      </c>
      <c r="C453" s="2996">
        <v>84.16</v>
      </c>
      <c r="D453" s="2993" t="s">
        <v>3252</v>
      </c>
      <c r="E453" s="2996">
        <v>2524800</v>
      </c>
      <c r="F453" s="2993">
        <f t="shared" si="88"/>
        <v>30000</v>
      </c>
    </row>
    <row r="454" spans="1:6" s="2993" customFormat="1">
      <c r="A454" s="3204"/>
      <c r="B454" s="2991" t="s">
        <v>3682</v>
      </c>
      <c r="C454" s="2994">
        <v>45.51</v>
      </c>
      <c r="D454" s="2993" t="s">
        <v>3254</v>
      </c>
      <c r="E454" s="3002">
        <v>420000</v>
      </c>
    </row>
    <row r="455" spans="1:6" s="2993" customFormat="1">
      <c r="A455" s="3204"/>
      <c r="B455" s="2991" t="s">
        <v>3683</v>
      </c>
      <c r="C455" s="2994">
        <v>45.51</v>
      </c>
      <c r="D455" s="2993" t="s">
        <v>3254</v>
      </c>
      <c r="E455" s="3002">
        <v>420000</v>
      </c>
    </row>
    <row r="456" spans="1:6" s="2993" customFormat="1">
      <c r="A456" s="3204">
        <v>93</v>
      </c>
      <c r="B456" s="2991" t="s">
        <v>3684</v>
      </c>
      <c r="C456" s="2996">
        <v>134.22999999999999</v>
      </c>
      <c r="D456" s="2993" t="s">
        <v>3257</v>
      </c>
      <c r="E456" s="3002">
        <v>8388144</v>
      </c>
    </row>
    <row r="457" spans="1:6" s="2993" customFormat="1" ht="24">
      <c r="A457" s="3204"/>
      <c r="B457" s="2991" t="s">
        <v>3685</v>
      </c>
      <c r="C457" s="2996">
        <v>84.32</v>
      </c>
      <c r="D457" s="2993" t="s">
        <v>4487</v>
      </c>
      <c r="E457" s="3002">
        <v>2529600</v>
      </c>
      <c r="F457" s="2993">
        <f t="shared" ref="F457:F458" si="89">E457/C457</f>
        <v>30000.000000000004</v>
      </c>
    </row>
    <row r="458" spans="1:6" s="2993" customFormat="1">
      <c r="A458" s="3204"/>
      <c r="B458" s="2991" t="s">
        <v>3686</v>
      </c>
      <c r="C458" s="2996">
        <v>83.44</v>
      </c>
      <c r="D458" s="2993" t="s">
        <v>3252</v>
      </c>
      <c r="E458" s="3002">
        <v>2503200</v>
      </c>
      <c r="F458" s="2993">
        <f t="shared" si="89"/>
        <v>30000</v>
      </c>
    </row>
    <row r="459" spans="1:6" s="2993" customFormat="1">
      <c r="A459" s="3204"/>
      <c r="B459" s="2991" t="s">
        <v>3687</v>
      </c>
      <c r="C459" s="2994">
        <v>45.51</v>
      </c>
      <c r="D459" s="2993" t="s">
        <v>3254</v>
      </c>
      <c r="E459" s="3002">
        <v>420000</v>
      </c>
    </row>
    <row r="460" spans="1:6" s="2993" customFormat="1">
      <c r="A460" s="3204"/>
      <c r="B460" s="2991" t="s">
        <v>3688</v>
      </c>
      <c r="C460" s="2994">
        <v>45.51</v>
      </c>
      <c r="D460" s="2993" t="s">
        <v>3254</v>
      </c>
      <c r="E460" s="3002">
        <v>420000</v>
      </c>
    </row>
    <row r="461" spans="1:6" s="2993" customFormat="1">
      <c r="A461" s="3204">
        <v>94</v>
      </c>
      <c r="B461" s="2991" t="s">
        <v>3689</v>
      </c>
      <c r="C461" s="2996">
        <v>134.22999999999999</v>
      </c>
      <c r="D461" s="2993" t="s">
        <v>3257</v>
      </c>
      <c r="E461" s="2996">
        <v>7595467</v>
      </c>
    </row>
    <row r="462" spans="1:6" s="2993" customFormat="1" ht="24">
      <c r="A462" s="3204"/>
      <c r="B462" s="2991" t="s">
        <v>3690</v>
      </c>
      <c r="C462" s="2996">
        <v>84.46</v>
      </c>
      <c r="D462" s="2993" t="s">
        <v>4487</v>
      </c>
      <c r="E462" s="2996">
        <v>2533800</v>
      </c>
      <c r="F462" s="2993">
        <f t="shared" ref="F462:F463" si="90">E462/C462</f>
        <v>30000.000000000004</v>
      </c>
    </row>
    <row r="463" spans="1:6" s="2993" customFormat="1">
      <c r="A463" s="3204"/>
      <c r="B463" s="2991" t="s">
        <v>3691</v>
      </c>
      <c r="C463" s="2996">
        <v>84.16</v>
      </c>
      <c r="D463" s="2993" t="s">
        <v>3252</v>
      </c>
      <c r="E463" s="2996">
        <v>2524800</v>
      </c>
      <c r="F463" s="2993">
        <f t="shared" si="90"/>
        <v>30000</v>
      </c>
    </row>
    <row r="464" spans="1:6" s="2993" customFormat="1">
      <c r="A464" s="3204"/>
      <c r="B464" s="2991" t="s">
        <v>3692</v>
      </c>
      <c r="C464" s="2994">
        <v>45.51</v>
      </c>
      <c r="D464" s="2993" t="s">
        <v>3254</v>
      </c>
      <c r="E464" s="3002">
        <v>420000</v>
      </c>
    </row>
    <row r="465" spans="1:6" s="2993" customFormat="1">
      <c r="A465" s="3204"/>
      <c r="B465" s="2991" t="s">
        <v>3693</v>
      </c>
      <c r="C465" s="2994">
        <v>45.51</v>
      </c>
      <c r="D465" s="2993" t="s">
        <v>3254</v>
      </c>
      <c r="E465" s="3002">
        <v>420000</v>
      </c>
    </row>
    <row r="466" spans="1:6" s="2993" customFormat="1">
      <c r="A466" s="3204">
        <v>95</v>
      </c>
      <c r="B466" s="2991" t="s">
        <v>3694</v>
      </c>
      <c r="C466" s="2996">
        <v>134.43</v>
      </c>
      <c r="D466" s="2993" t="s">
        <v>3257</v>
      </c>
      <c r="E466" s="2996">
        <v>7990664</v>
      </c>
    </row>
    <row r="467" spans="1:6" s="2993" customFormat="1" ht="24">
      <c r="A467" s="3204"/>
      <c r="B467" s="2991" t="s">
        <v>3695</v>
      </c>
      <c r="C467" s="2996">
        <v>84.73</v>
      </c>
      <c r="D467" s="2993" t="s">
        <v>4487</v>
      </c>
      <c r="E467" s="2996">
        <v>2541900</v>
      </c>
      <c r="F467" s="2993">
        <f t="shared" ref="F467:F468" si="91">E467/C467</f>
        <v>30000</v>
      </c>
    </row>
    <row r="468" spans="1:6" s="2993" customFormat="1">
      <c r="A468" s="3204"/>
      <c r="B468" s="2991" t="s">
        <v>3696</v>
      </c>
      <c r="C468" s="2996">
        <v>84.16</v>
      </c>
      <c r="D468" s="2993" t="s">
        <v>3252</v>
      </c>
      <c r="E468" s="2996">
        <v>2524800</v>
      </c>
      <c r="F468" s="2993">
        <f t="shared" si="91"/>
        <v>30000</v>
      </c>
    </row>
    <row r="469" spans="1:6" s="2993" customFormat="1">
      <c r="A469" s="3204"/>
      <c r="B469" s="2991" t="s">
        <v>3697</v>
      </c>
      <c r="C469" s="2994">
        <v>45.51</v>
      </c>
      <c r="D469" s="2993" t="s">
        <v>3254</v>
      </c>
      <c r="E469" s="3002">
        <v>420000</v>
      </c>
    </row>
    <row r="470" spans="1:6" s="2993" customFormat="1">
      <c r="A470" s="3204"/>
      <c r="B470" s="2991" t="s">
        <v>3698</v>
      </c>
      <c r="C470" s="2994">
        <v>45.51</v>
      </c>
      <c r="D470" s="2993" t="s">
        <v>3254</v>
      </c>
      <c r="E470" s="3002">
        <v>420000</v>
      </c>
    </row>
    <row r="471" spans="1:6" s="2993" customFormat="1">
      <c r="A471" s="3204">
        <v>96</v>
      </c>
      <c r="B471" s="2991" t="s">
        <v>3699</v>
      </c>
      <c r="C471" s="2994">
        <v>138.38999999999999</v>
      </c>
      <c r="D471" s="2993" t="s">
        <v>3257</v>
      </c>
      <c r="E471" s="3002">
        <v>8788872</v>
      </c>
    </row>
    <row r="472" spans="1:6" s="2993" customFormat="1" ht="24">
      <c r="A472" s="3204"/>
      <c r="B472" s="2991" t="s">
        <v>3700</v>
      </c>
      <c r="C472" s="2994">
        <v>86.55</v>
      </c>
      <c r="D472" s="2993" t="s">
        <v>4487</v>
      </c>
      <c r="E472" s="3002">
        <v>2596500</v>
      </c>
      <c r="F472" s="2993">
        <f t="shared" ref="F472:F473" si="92">E472/C472</f>
        <v>30000</v>
      </c>
    </row>
    <row r="473" spans="1:6" s="2997" customFormat="1">
      <c r="A473" s="3204"/>
      <c r="B473" s="2991" t="s">
        <v>3701</v>
      </c>
      <c r="C473" s="2994">
        <v>84.46</v>
      </c>
      <c r="D473" s="2993" t="s">
        <v>3252</v>
      </c>
      <c r="E473" s="3002">
        <v>2533800</v>
      </c>
      <c r="F473" s="2993">
        <f t="shared" si="92"/>
        <v>30000.000000000004</v>
      </c>
    </row>
    <row r="474" spans="1:6" s="2993" customFormat="1">
      <c r="A474" s="3204"/>
      <c r="B474" s="2991" t="s">
        <v>3702</v>
      </c>
      <c r="C474" s="2994">
        <v>45.51</v>
      </c>
      <c r="D474" s="2993" t="s">
        <v>3254</v>
      </c>
      <c r="E474" s="3002">
        <v>420000</v>
      </c>
    </row>
    <row r="475" spans="1:6" s="2993" customFormat="1">
      <c r="A475" s="3204"/>
      <c r="B475" s="2991" t="s">
        <v>3703</v>
      </c>
      <c r="C475" s="2994">
        <v>45.51</v>
      </c>
      <c r="D475" s="2993" t="s">
        <v>3235</v>
      </c>
      <c r="E475" s="3002">
        <v>420000</v>
      </c>
    </row>
    <row r="476" spans="1:6" s="2993" customFormat="1">
      <c r="A476" s="3204">
        <v>97</v>
      </c>
      <c r="B476" s="2991" t="s">
        <v>3704</v>
      </c>
      <c r="C476" s="2994">
        <v>138.38999999999999</v>
      </c>
      <c r="D476" s="2993" t="s">
        <v>3238</v>
      </c>
      <c r="E476" s="3002">
        <v>8788872</v>
      </c>
    </row>
    <row r="477" spans="1:6" s="2993" customFormat="1" ht="24">
      <c r="A477" s="3204"/>
      <c r="B477" s="2991" t="s">
        <v>3705</v>
      </c>
      <c r="C477" s="2994">
        <v>86.71</v>
      </c>
      <c r="D477" s="2993" t="s">
        <v>4487</v>
      </c>
      <c r="E477" s="3002">
        <v>2601300</v>
      </c>
      <c r="F477" s="2993">
        <f t="shared" ref="F477:F478" si="93">E477/C477</f>
        <v>30000.000000000004</v>
      </c>
    </row>
    <row r="478" spans="1:6" s="2993" customFormat="1">
      <c r="A478" s="3204"/>
      <c r="B478" s="2991" t="s">
        <v>3706</v>
      </c>
      <c r="C478" s="2994">
        <v>85.18</v>
      </c>
      <c r="D478" s="2993" t="s">
        <v>3241</v>
      </c>
      <c r="E478" s="3002">
        <v>2555400</v>
      </c>
      <c r="F478" s="2993">
        <f t="shared" si="93"/>
        <v>29999.999999999996</v>
      </c>
    </row>
    <row r="479" spans="1:6" s="2993" customFormat="1">
      <c r="A479" s="3204"/>
      <c r="B479" s="2991" t="s">
        <v>3707</v>
      </c>
      <c r="C479" s="2994">
        <v>45.51</v>
      </c>
      <c r="D479" s="2993" t="s">
        <v>3235</v>
      </c>
      <c r="E479" s="3002">
        <v>420000</v>
      </c>
    </row>
    <row r="480" spans="1:6" s="2993" customFormat="1">
      <c r="A480" s="3204"/>
      <c r="B480" s="2991" t="s">
        <v>3708</v>
      </c>
      <c r="C480" s="2994">
        <v>45.51</v>
      </c>
      <c r="D480" s="2993" t="s">
        <v>3235</v>
      </c>
      <c r="E480" s="3002">
        <v>420000</v>
      </c>
    </row>
    <row r="481" spans="1:6" s="2993" customFormat="1">
      <c r="A481" s="3204">
        <v>98</v>
      </c>
      <c r="B481" s="2991" t="s">
        <v>3709</v>
      </c>
      <c r="C481" s="2994">
        <v>138.38999999999999</v>
      </c>
      <c r="D481" s="2993" t="s">
        <v>3238</v>
      </c>
      <c r="E481" s="3002">
        <v>8788872</v>
      </c>
    </row>
    <row r="482" spans="1:6" s="2993" customFormat="1" ht="24">
      <c r="A482" s="3204"/>
      <c r="B482" s="2991" t="s">
        <v>3710</v>
      </c>
      <c r="C482" s="2994">
        <v>86.71</v>
      </c>
      <c r="D482" s="2993" t="s">
        <v>4487</v>
      </c>
      <c r="E482" s="3002">
        <v>2601300</v>
      </c>
      <c r="F482" s="2993">
        <f t="shared" ref="F482:F483" si="94">E482/C482</f>
        <v>30000.000000000004</v>
      </c>
    </row>
    <row r="483" spans="1:6" s="2993" customFormat="1">
      <c r="A483" s="3204"/>
      <c r="B483" s="2991" t="s">
        <v>3711</v>
      </c>
      <c r="C483" s="2994">
        <v>85.18</v>
      </c>
      <c r="D483" s="2993" t="s">
        <v>3252</v>
      </c>
      <c r="E483" s="3002">
        <v>2555400</v>
      </c>
      <c r="F483" s="2993">
        <f t="shared" si="94"/>
        <v>29999.999999999996</v>
      </c>
    </row>
    <row r="484" spans="1:6" s="2993" customFormat="1">
      <c r="A484" s="3204"/>
      <c r="B484" s="2991" t="s">
        <v>3712</v>
      </c>
      <c r="C484" s="2994">
        <v>45.51</v>
      </c>
      <c r="D484" s="2993" t="s">
        <v>3254</v>
      </c>
      <c r="E484" s="3002">
        <v>420000</v>
      </c>
    </row>
    <row r="485" spans="1:6" s="2993" customFormat="1">
      <c r="A485" s="3204"/>
      <c r="B485" s="2991" t="s">
        <v>3713</v>
      </c>
      <c r="C485" s="2994">
        <v>45.51</v>
      </c>
      <c r="D485" s="2993" t="s">
        <v>3254</v>
      </c>
      <c r="E485" s="3002">
        <v>420000</v>
      </c>
    </row>
    <row r="486" spans="1:6" s="2993" customFormat="1">
      <c r="A486" s="3204">
        <v>99</v>
      </c>
      <c r="B486" s="2991" t="s">
        <v>3714</v>
      </c>
      <c r="C486" s="2994">
        <v>134.03</v>
      </c>
      <c r="D486" s="2993" t="s">
        <v>3257</v>
      </c>
      <c r="E486" s="3002">
        <v>8308668</v>
      </c>
    </row>
    <row r="487" spans="1:6" s="2993" customFormat="1" ht="24">
      <c r="A487" s="3204"/>
      <c r="B487" s="2991" t="s">
        <v>3715</v>
      </c>
      <c r="C487" s="2994">
        <v>84.18</v>
      </c>
      <c r="D487" s="2993" t="s">
        <v>4487</v>
      </c>
      <c r="E487" s="3002">
        <v>2525400</v>
      </c>
      <c r="F487" s="2993">
        <f t="shared" ref="F487:F488" si="95">E487/C487</f>
        <v>29999.999999999996</v>
      </c>
    </row>
    <row r="488" spans="1:6" s="2993" customFormat="1">
      <c r="A488" s="3204"/>
      <c r="B488" s="2991" t="s">
        <v>3716</v>
      </c>
      <c r="C488" s="2994">
        <v>83.36</v>
      </c>
      <c r="D488" s="2993" t="s">
        <v>3252</v>
      </c>
      <c r="E488" s="3002">
        <v>2500800</v>
      </c>
      <c r="F488" s="2993">
        <f t="shared" si="95"/>
        <v>30000</v>
      </c>
    </row>
    <row r="489" spans="1:6" s="2993" customFormat="1">
      <c r="A489" s="3204"/>
      <c r="B489" s="2991" t="s">
        <v>3717</v>
      </c>
      <c r="C489" s="2994">
        <v>45.51</v>
      </c>
      <c r="D489" s="2993" t="s">
        <v>3254</v>
      </c>
      <c r="E489" s="3002">
        <v>420000</v>
      </c>
    </row>
    <row r="490" spans="1:6" s="2993" customFormat="1">
      <c r="A490" s="3204"/>
      <c r="B490" s="2991" t="s">
        <v>3718</v>
      </c>
      <c r="C490" s="2994">
        <v>45.51</v>
      </c>
      <c r="D490" s="2993" t="s">
        <v>3254</v>
      </c>
      <c r="E490" s="3002">
        <v>420000</v>
      </c>
    </row>
    <row r="491" spans="1:6" s="2993" customFormat="1">
      <c r="A491" s="3204">
        <v>100</v>
      </c>
      <c r="B491" s="2991" t="s">
        <v>3719</v>
      </c>
      <c r="C491" s="2994">
        <v>134.03</v>
      </c>
      <c r="D491" s="2993" t="s">
        <v>3257</v>
      </c>
      <c r="E491" s="3002">
        <v>7516979</v>
      </c>
    </row>
    <row r="492" spans="1:6" s="2993" customFormat="1" ht="24">
      <c r="A492" s="3204"/>
      <c r="B492" s="2991" t="s">
        <v>3720</v>
      </c>
      <c r="C492" s="2994">
        <v>84.33</v>
      </c>
      <c r="D492" s="2993" t="s">
        <v>4487</v>
      </c>
      <c r="E492" s="3002">
        <v>2529900</v>
      </c>
      <c r="F492" s="2993">
        <f t="shared" ref="F492:F493" si="96">E492/C492</f>
        <v>30000</v>
      </c>
    </row>
    <row r="493" spans="1:6" s="2993" customFormat="1">
      <c r="A493" s="3204"/>
      <c r="B493" s="2991" t="s">
        <v>3721</v>
      </c>
      <c r="C493" s="2994">
        <v>84.08</v>
      </c>
      <c r="D493" s="2993" t="s">
        <v>3252</v>
      </c>
      <c r="E493" s="3002">
        <v>2522400</v>
      </c>
      <c r="F493" s="2993">
        <f t="shared" si="96"/>
        <v>30000</v>
      </c>
    </row>
    <row r="494" spans="1:6" s="2993" customFormat="1">
      <c r="A494" s="3204"/>
      <c r="B494" s="2991" t="s">
        <v>3722</v>
      </c>
      <c r="C494" s="2994">
        <v>45.51</v>
      </c>
      <c r="D494" s="2993" t="s">
        <v>3254</v>
      </c>
      <c r="E494" s="3002">
        <v>420000</v>
      </c>
    </row>
    <row r="495" spans="1:6" s="2993" customFormat="1">
      <c r="A495" s="3204"/>
      <c r="B495" s="2991" t="s">
        <v>3723</v>
      </c>
      <c r="C495" s="2994">
        <v>45.51</v>
      </c>
      <c r="D495" s="2993" t="s">
        <v>3254</v>
      </c>
      <c r="E495" s="3002">
        <v>420000</v>
      </c>
    </row>
    <row r="496" spans="1:6" s="2993" customFormat="1">
      <c r="A496" s="3204">
        <v>101</v>
      </c>
      <c r="B496" s="2991" t="s">
        <v>3724</v>
      </c>
      <c r="C496" s="2994">
        <v>134.03</v>
      </c>
      <c r="D496" s="2993" t="s">
        <v>3257</v>
      </c>
      <c r="E496" s="3002">
        <v>7516979</v>
      </c>
    </row>
    <row r="497" spans="1:6" s="2993" customFormat="1" ht="24">
      <c r="A497" s="3204"/>
      <c r="B497" s="2991" t="s">
        <v>3725</v>
      </c>
      <c r="C497" s="2994">
        <v>84.33</v>
      </c>
      <c r="D497" s="2993" t="s">
        <v>4487</v>
      </c>
      <c r="E497" s="3002">
        <v>2529900</v>
      </c>
      <c r="F497" s="2993">
        <f t="shared" ref="F497:F498" si="97">E497/C497</f>
        <v>30000</v>
      </c>
    </row>
    <row r="498" spans="1:6" s="2993" customFormat="1">
      <c r="A498" s="3204"/>
      <c r="B498" s="2991" t="s">
        <v>3726</v>
      </c>
      <c r="C498" s="2994">
        <v>84.08</v>
      </c>
      <c r="D498" s="2993" t="s">
        <v>3379</v>
      </c>
      <c r="E498" s="3002">
        <v>2522400</v>
      </c>
      <c r="F498" s="2993">
        <f t="shared" si="97"/>
        <v>30000</v>
      </c>
    </row>
    <row r="499" spans="1:6" s="2993" customFormat="1">
      <c r="A499" s="3204"/>
      <c r="B499" s="2991" t="s">
        <v>3727</v>
      </c>
      <c r="C499" s="2994">
        <v>45.51</v>
      </c>
      <c r="D499" s="2993" t="s">
        <v>3381</v>
      </c>
      <c r="E499" s="3002">
        <v>420000</v>
      </c>
    </row>
    <row r="500" spans="1:6" s="2993" customFormat="1">
      <c r="A500" s="3204"/>
      <c r="B500" s="2991" t="s">
        <v>3728</v>
      </c>
      <c r="C500" s="2994">
        <v>45.51</v>
      </c>
      <c r="D500" s="2993" t="s">
        <v>3381</v>
      </c>
      <c r="E500" s="3002">
        <v>420000</v>
      </c>
    </row>
    <row r="501" spans="1:6" s="2993" customFormat="1">
      <c r="A501" s="3204">
        <v>102</v>
      </c>
      <c r="B501" s="2991" t="s">
        <v>3729</v>
      </c>
      <c r="C501" s="2994">
        <v>134.22</v>
      </c>
      <c r="D501" s="2993" t="s">
        <v>3384</v>
      </c>
      <c r="E501" s="3002">
        <v>7910959</v>
      </c>
    </row>
    <row r="502" spans="1:6" s="2993" customFormat="1" ht="24">
      <c r="A502" s="3204"/>
      <c r="B502" s="2991" t="s">
        <v>3730</v>
      </c>
      <c r="C502" s="2994">
        <v>84.59</v>
      </c>
      <c r="D502" s="2993" t="s">
        <v>4487</v>
      </c>
      <c r="E502" s="3002">
        <v>2537700</v>
      </c>
      <c r="F502" s="2993">
        <f t="shared" ref="F502:F503" si="98">E502/C502</f>
        <v>30000</v>
      </c>
    </row>
    <row r="503" spans="1:6" s="2993" customFormat="1">
      <c r="A503" s="3204"/>
      <c r="B503" s="2991" t="s">
        <v>3731</v>
      </c>
      <c r="C503" s="2994">
        <v>84.08</v>
      </c>
      <c r="D503" s="2993" t="s">
        <v>3241</v>
      </c>
      <c r="E503" s="3002">
        <v>2522400</v>
      </c>
      <c r="F503" s="2993">
        <f t="shared" si="98"/>
        <v>30000</v>
      </c>
    </row>
    <row r="504" spans="1:6" s="2993" customFormat="1">
      <c r="A504" s="3204"/>
      <c r="B504" s="2991" t="s">
        <v>3732</v>
      </c>
      <c r="C504" s="2994">
        <v>45.51</v>
      </c>
      <c r="D504" s="2993" t="s">
        <v>3235</v>
      </c>
      <c r="E504" s="3002">
        <v>420000</v>
      </c>
    </row>
    <row r="505" spans="1:6" s="2993" customFormat="1">
      <c r="A505" s="3204"/>
      <c r="B505" s="2991" t="s">
        <v>3733</v>
      </c>
      <c r="C505" s="2994">
        <v>45.51</v>
      </c>
      <c r="D505" s="2993" t="s">
        <v>3235</v>
      </c>
      <c r="E505" s="3002">
        <v>420000</v>
      </c>
    </row>
    <row r="506" spans="1:6" s="2993" customFormat="1">
      <c r="A506" s="3204">
        <v>103</v>
      </c>
      <c r="B506" s="2991" t="s">
        <v>3734</v>
      </c>
      <c r="C506" s="2994">
        <v>134.03</v>
      </c>
      <c r="D506" s="2993" t="s">
        <v>3238</v>
      </c>
      <c r="E506" s="3002">
        <v>7684783</v>
      </c>
    </row>
    <row r="507" spans="1:6" s="2993" customFormat="1" ht="24">
      <c r="A507" s="3204"/>
      <c r="B507" s="2991" t="s">
        <v>3735</v>
      </c>
      <c r="C507" s="2994">
        <v>84.33</v>
      </c>
      <c r="D507" s="2993" t="s">
        <v>4487</v>
      </c>
      <c r="E507" s="3002">
        <v>2529900</v>
      </c>
      <c r="F507" s="2993">
        <f t="shared" ref="F507:F508" si="99">E507/C507</f>
        <v>30000</v>
      </c>
    </row>
    <row r="508" spans="1:6" s="2993" customFormat="1">
      <c r="A508" s="3204"/>
      <c r="B508" s="2991" t="s">
        <v>3736</v>
      </c>
      <c r="C508" s="2994">
        <v>84.08</v>
      </c>
      <c r="D508" s="2993" t="s">
        <v>3241</v>
      </c>
      <c r="E508" s="3002">
        <v>2522400</v>
      </c>
      <c r="F508" s="2993">
        <f t="shared" si="99"/>
        <v>30000</v>
      </c>
    </row>
    <row r="509" spans="1:6" s="2993" customFormat="1">
      <c r="A509" s="3204"/>
      <c r="B509" s="2991" t="s">
        <v>3737</v>
      </c>
      <c r="C509" s="2994">
        <v>45.51</v>
      </c>
      <c r="D509" s="2993" t="s">
        <v>3235</v>
      </c>
      <c r="E509" s="3002">
        <v>420000</v>
      </c>
    </row>
    <row r="510" spans="1:6" s="2993" customFormat="1">
      <c r="A510" s="3204"/>
      <c r="B510" s="2991" t="s">
        <v>3738</v>
      </c>
      <c r="C510" s="2994">
        <v>45.51</v>
      </c>
      <c r="D510" s="2993" t="s">
        <v>3235</v>
      </c>
      <c r="E510" s="3002">
        <v>420000</v>
      </c>
    </row>
    <row r="511" spans="1:6" s="2993" customFormat="1">
      <c r="A511" s="3204">
        <v>104</v>
      </c>
      <c r="B511" s="2991" t="s">
        <v>3739</v>
      </c>
      <c r="C511" s="2994">
        <v>134.03</v>
      </c>
      <c r="D511" s="2993" t="s">
        <v>3238</v>
      </c>
      <c r="E511" s="3002">
        <v>7684783</v>
      </c>
    </row>
    <row r="512" spans="1:6" s="2993" customFormat="1" ht="24">
      <c r="A512" s="3204"/>
      <c r="B512" s="2991" t="s">
        <v>3740</v>
      </c>
      <c r="C512" s="2994">
        <v>84.33</v>
      </c>
      <c r="D512" s="2993" t="s">
        <v>4487</v>
      </c>
      <c r="E512" s="3002">
        <v>2529900</v>
      </c>
      <c r="F512" s="2993">
        <f t="shared" ref="F512:F513" si="100">E512/C512</f>
        <v>30000</v>
      </c>
    </row>
    <row r="513" spans="1:6" s="2993" customFormat="1">
      <c r="A513" s="3204"/>
      <c r="B513" s="2991" t="s">
        <v>3741</v>
      </c>
      <c r="C513" s="2994">
        <v>84.08</v>
      </c>
      <c r="D513" s="2993" t="s">
        <v>3241</v>
      </c>
      <c r="E513" s="3002">
        <v>2522400</v>
      </c>
      <c r="F513" s="2993">
        <f t="shared" si="100"/>
        <v>30000</v>
      </c>
    </row>
    <row r="514" spans="1:6" s="2993" customFormat="1">
      <c r="A514" s="3204"/>
      <c r="B514" s="2991" t="s">
        <v>3742</v>
      </c>
      <c r="C514" s="2994">
        <v>45.51</v>
      </c>
      <c r="D514" s="2993" t="s">
        <v>3235</v>
      </c>
      <c r="E514" s="3002">
        <v>420000</v>
      </c>
    </row>
    <row r="515" spans="1:6" s="2993" customFormat="1">
      <c r="A515" s="3204"/>
      <c r="B515" s="2991" t="s">
        <v>3743</v>
      </c>
      <c r="C515" s="2994">
        <v>45.51</v>
      </c>
      <c r="D515" s="2993" t="s">
        <v>3235</v>
      </c>
      <c r="E515" s="3002">
        <v>420000</v>
      </c>
    </row>
    <row r="516" spans="1:6" s="2993" customFormat="1">
      <c r="A516" s="3204">
        <v>105</v>
      </c>
      <c r="B516" s="2991" t="s">
        <v>3744</v>
      </c>
      <c r="C516" s="2994">
        <v>134.22</v>
      </c>
      <c r="D516" s="2993" t="s">
        <v>3238</v>
      </c>
      <c r="E516" s="3002">
        <v>8079009</v>
      </c>
    </row>
    <row r="517" spans="1:6" s="2993" customFormat="1" ht="24">
      <c r="A517" s="3204"/>
      <c r="B517" s="2991" t="s">
        <v>3745</v>
      </c>
      <c r="C517" s="2994">
        <v>84.59</v>
      </c>
      <c r="D517" s="2993" t="s">
        <v>4487</v>
      </c>
      <c r="E517" s="3002">
        <v>2537700</v>
      </c>
      <c r="F517" s="2993">
        <f t="shared" ref="F517:F518" si="101">E517/C517</f>
        <v>30000</v>
      </c>
    </row>
    <row r="518" spans="1:6" s="2993" customFormat="1">
      <c r="A518" s="3204"/>
      <c r="B518" s="2991" t="s">
        <v>3746</v>
      </c>
      <c r="C518" s="2994">
        <v>84.08</v>
      </c>
      <c r="D518" s="2993" t="s">
        <v>3241</v>
      </c>
      <c r="E518" s="3002">
        <v>2522400</v>
      </c>
      <c r="F518" s="2993">
        <f t="shared" si="101"/>
        <v>30000</v>
      </c>
    </row>
    <row r="519" spans="1:6" s="2993" customFormat="1">
      <c r="A519" s="3204"/>
      <c r="B519" s="2991" t="s">
        <v>3747</v>
      </c>
      <c r="C519" s="2994">
        <v>45.51</v>
      </c>
      <c r="D519" s="2993" t="s">
        <v>3235</v>
      </c>
      <c r="E519" s="3002">
        <v>420000</v>
      </c>
    </row>
    <row r="520" spans="1:6" s="2993" customFormat="1">
      <c r="A520" s="3204"/>
      <c r="B520" s="2991" t="s">
        <v>3748</v>
      </c>
      <c r="C520" s="2994">
        <v>45.51</v>
      </c>
      <c r="D520" s="2993" t="s">
        <v>3235</v>
      </c>
      <c r="E520" s="3002">
        <v>420000</v>
      </c>
    </row>
    <row r="521" spans="1:6" s="2993" customFormat="1">
      <c r="A521" s="3204">
        <v>106</v>
      </c>
      <c r="B521" s="2991" t="s">
        <v>3749</v>
      </c>
      <c r="C521" s="2994">
        <v>134.36000000000001</v>
      </c>
      <c r="D521" s="2993" t="s">
        <v>3238</v>
      </c>
      <c r="E521" s="3002">
        <v>7919210</v>
      </c>
    </row>
    <row r="522" spans="1:6" s="2993" customFormat="1" ht="24">
      <c r="A522" s="3204"/>
      <c r="B522" s="2991" t="s">
        <v>3750</v>
      </c>
      <c r="C522" s="2995">
        <v>84.7</v>
      </c>
      <c r="D522" s="2993" t="s">
        <v>4487</v>
      </c>
      <c r="E522" s="2995">
        <v>2541000</v>
      </c>
      <c r="F522" s="2993">
        <f t="shared" ref="F522:F523" si="102">E522/C522</f>
        <v>30000</v>
      </c>
    </row>
    <row r="523" spans="1:6" s="2993" customFormat="1">
      <c r="A523" s="3204"/>
      <c r="B523" s="2991" t="s">
        <v>3751</v>
      </c>
      <c r="C523" s="2994">
        <v>84.15</v>
      </c>
      <c r="D523" s="2993" t="s">
        <v>3252</v>
      </c>
      <c r="E523" s="3002">
        <v>2524500</v>
      </c>
      <c r="F523" s="2993">
        <f t="shared" si="102"/>
        <v>29999.999999999996</v>
      </c>
    </row>
    <row r="524" spans="1:6" s="2993" customFormat="1">
      <c r="A524" s="3204"/>
      <c r="B524" s="2991" t="s">
        <v>3752</v>
      </c>
      <c r="C524" s="2994">
        <v>45.51</v>
      </c>
      <c r="D524" s="2993" t="s">
        <v>3254</v>
      </c>
      <c r="E524" s="3002">
        <v>420000</v>
      </c>
    </row>
    <row r="525" spans="1:6" s="2993" customFormat="1">
      <c r="A525" s="3204"/>
      <c r="B525" s="2991" t="s">
        <v>3753</v>
      </c>
      <c r="C525" s="2994">
        <v>45.51</v>
      </c>
      <c r="D525" s="2993" t="s">
        <v>3254</v>
      </c>
      <c r="E525" s="3002">
        <v>420000</v>
      </c>
    </row>
    <row r="526" spans="1:6" s="2993" customFormat="1">
      <c r="A526" s="3204">
        <v>107</v>
      </c>
      <c r="B526" s="2991" t="s">
        <v>3754</v>
      </c>
      <c r="C526" s="2994">
        <v>134.16999999999999</v>
      </c>
      <c r="D526" s="2993" t="s">
        <v>3257</v>
      </c>
      <c r="E526" s="3002">
        <v>7692826</v>
      </c>
    </row>
    <row r="527" spans="1:6" s="2993" customFormat="1" ht="24">
      <c r="A527" s="3204"/>
      <c r="B527" s="2991" t="s">
        <v>3755</v>
      </c>
      <c r="C527" s="2995">
        <v>84.42</v>
      </c>
      <c r="D527" s="2993" t="s">
        <v>4487</v>
      </c>
      <c r="E527" s="2995">
        <v>2532600</v>
      </c>
      <c r="F527" s="2993">
        <f t="shared" ref="F527:F528" si="103">E527/C527</f>
        <v>30000</v>
      </c>
    </row>
    <row r="528" spans="1:6" s="2993" customFormat="1">
      <c r="A528" s="3204"/>
      <c r="B528" s="2991" t="s">
        <v>3756</v>
      </c>
      <c r="C528" s="2994">
        <v>84.15</v>
      </c>
      <c r="D528" s="2993" t="s">
        <v>3252</v>
      </c>
      <c r="E528" s="3002">
        <v>2524500</v>
      </c>
      <c r="F528" s="2993">
        <f t="shared" si="103"/>
        <v>29999.999999999996</v>
      </c>
    </row>
    <row r="529" spans="1:6" s="2993" customFormat="1">
      <c r="A529" s="3204"/>
      <c r="B529" s="2991" t="s">
        <v>3757</v>
      </c>
      <c r="C529" s="2994">
        <v>45.51</v>
      </c>
      <c r="D529" s="2993" t="s">
        <v>3254</v>
      </c>
      <c r="E529" s="3002">
        <v>420000</v>
      </c>
    </row>
    <row r="530" spans="1:6" s="2993" customFormat="1">
      <c r="A530" s="3204"/>
      <c r="B530" s="2991" t="s">
        <v>3758</v>
      </c>
      <c r="C530" s="2994">
        <v>45.51</v>
      </c>
      <c r="D530" s="2993" t="s">
        <v>3254</v>
      </c>
      <c r="E530" s="3002">
        <v>420000</v>
      </c>
    </row>
    <row r="531" spans="1:6" s="2993" customFormat="1">
      <c r="A531" s="3204">
        <v>108</v>
      </c>
      <c r="B531" s="2991" t="s">
        <v>3759</v>
      </c>
      <c r="C531" s="2995">
        <v>134.36000000000001</v>
      </c>
      <c r="D531" s="2993" t="s">
        <v>3257</v>
      </c>
      <c r="E531" s="2995">
        <v>8087437</v>
      </c>
    </row>
    <row r="532" spans="1:6" s="2993" customFormat="1" ht="24">
      <c r="A532" s="3204"/>
      <c r="B532" s="2991" t="s">
        <v>3760</v>
      </c>
      <c r="C532" s="2994">
        <v>84.7</v>
      </c>
      <c r="D532" s="2993" t="s">
        <v>4487</v>
      </c>
      <c r="E532" s="3002">
        <v>2541000</v>
      </c>
      <c r="F532" s="2993">
        <f t="shared" ref="F532:F533" si="104">E532/C532</f>
        <v>30000</v>
      </c>
    </row>
    <row r="533" spans="1:6" s="2993" customFormat="1">
      <c r="A533" s="3204"/>
      <c r="B533" s="2991" t="s">
        <v>3761</v>
      </c>
      <c r="C533" s="2995">
        <v>84.15</v>
      </c>
      <c r="D533" s="2993" t="s">
        <v>3252</v>
      </c>
      <c r="E533" s="2995">
        <v>2524500</v>
      </c>
      <c r="F533" s="2993">
        <f t="shared" si="104"/>
        <v>29999.999999999996</v>
      </c>
    </row>
    <row r="534" spans="1:6" s="2993" customFormat="1">
      <c r="A534" s="3204"/>
      <c r="B534" s="2991" t="s">
        <v>3762</v>
      </c>
      <c r="C534" s="2994">
        <v>45.51</v>
      </c>
      <c r="D534" s="2993" t="s">
        <v>3254</v>
      </c>
      <c r="E534" s="3002">
        <v>420000</v>
      </c>
    </row>
    <row r="535" spans="1:6" s="2993" customFormat="1">
      <c r="A535" s="3204"/>
      <c r="B535" s="2991" t="s">
        <v>3763</v>
      </c>
      <c r="C535" s="2994">
        <v>45.51</v>
      </c>
      <c r="D535" s="2993" t="s">
        <v>3254</v>
      </c>
      <c r="E535" s="3002">
        <v>420000</v>
      </c>
    </row>
    <row r="536" spans="1:6" s="2993" customFormat="1">
      <c r="A536" s="3204">
        <v>109</v>
      </c>
      <c r="B536" s="2991" t="s">
        <v>3764</v>
      </c>
      <c r="C536" s="2994">
        <v>134.18</v>
      </c>
      <c r="D536" s="2993" t="s">
        <v>3257</v>
      </c>
      <c r="E536" s="3002">
        <v>8521503</v>
      </c>
    </row>
    <row r="537" spans="1:6" s="2993" customFormat="1" ht="24">
      <c r="A537" s="3204"/>
      <c r="B537" s="2991" t="s">
        <v>3765</v>
      </c>
      <c r="C537" s="2995">
        <v>84.28</v>
      </c>
      <c r="D537" s="2993" t="s">
        <v>4487</v>
      </c>
      <c r="E537" s="2995">
        <v>2528400</v>
      </c>
      <c r="F537" s="2993">
        <f t="shared" ref="F537:F538" si="105">E537/C537</f>
        <v>30000</v>
      </c>
    </row>
    <row r="538" spans="1:6" s="2993" customFormat="1">
      <c r="A538" s="3204"/>
      <c r="B538" s="2991" t="s">
        <v>3766</v>
      </c>
      <c r="C538" s="2994">
        <v>83.43</v>
      </c>
      <c r="D538" s="2993" t="s">
        <v>3252</v>
      </c>
      <c r="E538" s="3002">
        <v>2502900</v>
      </c>
      <c r="F538" s="2993">
        <f t="shared" si="105"/>
        <v>29999.999999999996</v>
      </c>
    </row>
    <row r="539" spans="1:6" s="2993" customFormat="1">
      <c r="A539" s="3204"/>
      <c r="B539" s="2991" t="s">
        <v>3767</v>
      </c>
      <c r="C539" s="2994">
        <v>45.51</v>
      </c>
      <c r="D539" s="2993" t="s">
        <v>3254</v>
      </c>
      <c r="E539" s="3002">
        <v>420000</v>
      </c>
    </row>
    <row r="540" spans="1:6" s="2993" customFormat="1">
      <c r="A540" s="3204"/>
      <c r="B540" s="2991" t="s">
        <v>3768</v>
      </c>
      <c r="C540" s="2994">
        <v>45.51</v>
      </c>
      <c r="D540" s="2993" t="s">
        <v>3254</v>
      </c>
      <c r="E540" s="3002">
        <v>420000</v>
      </c>
    </row>
    <row r="541" spans="1:6" s="2993" customFormat="1">
      <c r="A541" s="3204">
        <v>110</v>
      </c>
      <c r="B541" s="2991" t="s">
        <v>3769</v>
      </c>
      <c r="C541" s="2994">
        <v>134.16999999999999</v>
      </c>
      <c r="D541" s="2993" t="s">
        <v>3257</v>
      </c>
      <c r="E541" s="3002">
        <v>7897602</v>
      </c>
    </row>
    <row r="542" spans="1:6" s="2993" customFormat="1" ht="24">
      <c r="A542" s="3204"/>
      <c r="B542" s="2991" t="s">
        <v>3770</v>
      </c>
      <c r="C542" s="2995">
        <v>84.42</v>
      </c>
      <c r="D542" s="2993" t="s">
        <v>4487</v>
      </c>
      <c r="E542" s="2995">
        <v>2532600</v>
      </c>
      <c r="F542" s="2993">
        <f t="shared" ref="F542:F543" si="106">E542/C542</f>
        <v>30000</v>
      </c>
    </row>
    <row r="543" spans="1:6" s="2993" customFormat="1">
      <c r="A543" s="3204"/>
      <c r="B543" s="2991" t="s">
        <v>3771</v>
      </c>
      <c r="C543" s="2994">
        <v>84.15</v>
      </c>
      <c r="D543" s="2993" t="s">
        <v>3252</v>
      </c>
      <c r="E543" s="3002">
        <v>2524500</v>
      </c>
      <c r="F543" s="2993">
        <f t="shared" si="106"/>
        <v>29999.999999999996</v>
      </c>
    </row>
    <row r="544" spans="1:6" s="2993" customFormat="1">
      <c r="A544" s="3204"/>
      <c r="B544" s="2991" t="s">
        <v>3772</v>
      </c>
      <c r="C544" s="2994">
        <v>45.51</v>
      </c>
      <c r="D544" s="2993" t="s">
        <v>3254</v>
      </c>
      <c r="E544" s="3002">
        <v>420000</v>
      </c>
    </row>
    <row r="545" spans="1:6" s="2993" customFormat="1">
      <c r="A545" s="3204"/>
      <c r="B545" s="2991" t="s">
        <v>3773</v>
      </c>
      <c r="C545" s="2994">
        <v>45.51</v>
      </c>
      <c r="D545" s="2993" t="s">
        <v>3254</v>
      </c>
      <c r="E545" s="3002">
        <v>420000</v>
      </c>
    </row>
    <row r="546" spans="1:6" s="2993" customFormat="1">
      <c r="A546" s="3204">
        <v>111</v>
      </c>
      <c r="B546" s="2991" t="s">
        <v>3774</v>
      </c>
      <c r="C546" s="2995">
        <v>134.36000000000001</v>
      </c>
      <c r="D546" s="2993" t="s">
        <v>3257</v>
      </c>
      <c r="E546" s="2995">
        <v>8027795</v>
      </c>
    </row>
    <row r="547" spans="1:6" s="2993" customFormat="1" ht="24">
      <c r="A547" s="3204"/>
      <c r="B547" s="2991" t="s">
        <v>3775</v>
      </c>
      <c r="C547" s="2994">
        <v>84.7</v>
      </c>
      <c r="D547" s="2993" t="s">
        <v>4487</v>
      </c>
      <c r="E547" s="3002">
        <v>2541000</v>
      </c>
      <c r="F547" s="2993">
        <f t="shared" ref="F547:F548" si="107">E547/C547</f>
        <v>30000</v>
      </c>
    </row>
    <row r="548" spans="1:6" s="2993" customFormat="1">
      <c r="A548" s="3204"/>
      <c r="B548" s="2991" t="s">
        <v>3776</v>
      </c>
      <c r="C548" s="2995">
        <v>84.15</v>
      </c>
      <c r="D548" s="2993" t="s">
        <v>3252</v>
      </c>
      <c r="E548" s="2995">
        <v>2524500</v>
      </c>
      <c r="F548" s="2993">
        <f t="shared" si="107"/>
        <v>29999.999999999996</v>
      </c>
    </row>
    <row r="549" spans="1:6" s="2993" customFormat="1">
      <c r="A549" s="3204"/>
      <c r="B549" s="2991" t="s">
        <v>3777</v>
      </c>
      <c r="C549" s="2994">
        <v>45.51</v>
      </c>
      <c r="D549" s="2993" t="s">
        <v>3254</v>
      </c>
      <c r="E549" s="3002">
        <v>420000</v>
      </c>
    </row>
    <row r="550" spans="1:6" s="2993" customFormat="1">
      <c r="A550" s="3204"/>
      <c r="B550" s="2991" t="s">
        <v>3778</v>
      </c>
      <c r="C550" s="2994">
        <v>45.51</v>
      </c>
      <c r="D550" s="2993" t="s">
        <v>3254</v>
      </c>
      <c r="E550" s="3002">
        <v>420000</v>
      </c>
    </row>
    <row r="551" spans="1:6" s="2993" customFormat="1">
      <c r="A551" s="3204">
        <v>112</v>
      </c>
      <c r="B551" s="2991" t="s">
        <v>3779</v>
      </c>
      <c r="C551" s="2994">
        <v>134.07</v>
      </c>
      <c r="D551" s="2993" t="s">
        <v>3257</v>
      </c>
      <c r="E551" s="3002">
        <v>8514518</v>
      </c>
    </row>
    <row r="552" spans="1:6" s="2993" customFormat="1" ht="24">
      <c r="A552" s="3204"/>
      <c r="B552" s="2991" t="s">
        <v>3780</v>
      </c>
      <c r="C552" s="2995">
        <v>84.2</v>
      </c>
      <c r="D552" s="2993" t="s">
        <v>4487</v>
      </c>
      <c r="E552" s="2995">
        <v>2526000</v>
      </c>
      <c r="F552" s="2993">
        <f t="shared" ref="F552:F553" si="108">E552/C552</f>
        <v>30000</v>
      </c>
    </row>
    <row r="553" spans="1:6" s="2993" customFormat="1">
      <c r="A553" s="3204"/>
      <c r="B553" s="2991" t="s">
        <v>3781</v>
      </c>
      <c r="C553" s="2994">
        <v>83.37</v>
      </c>
      <c r="D553" s="2993" t="s">
        <v>3252</v>
      </c>
      <c r="E553" s="3002">
        <v>2501100</v>
      </c>
      <c r="F553" s="2993">
        <f t="shared" si="108"/>
        <v>30000</v>
      </c>
    </row>
    <row r="554" spans="1:6" s="2993" customFormat="1">
      <c r="A554" s="3204"/>
      <c r="B554" s="2991" t="s">
        <v>3782</v>
      </c>
      <c r="C554" s="2994">
        <v>45.51</v>
      </c>
      <c r="D554" s="2993" t="s">
        <v>3254</v>
      </c>
      <c r="E554" s="3002">
        <v>420000</v>
      </c>
    </row>
    <row r="555" spans="1:6" s="2993" customFormat="1">
      <c r="A555" s="3204"/>
      <c r="B555" s="2991" t="s">
        <v>3783</v>
      </c>
      <c r="C555" s="2994">
        <v>45.51</v>
      </c>
      <c r="D555" s="2993" t="s">
        <v>3254</v>
      </c>
      <c r="E555" s="3002">
        <v>420000</v>
      </c>
    </row>
    <row r="556" spans="1:6" s="2993" customFormat="1">
      <c r="A556" s="3204">
        <v>113</v>
      </c>
      <c r="B556" s="2991" t="s">
        <v>3784</v>
      </c>
      <c r="C556" s="2995">
        <v>134.07</v>
      </c>
      <c r="D556" s="2993" t="s">
        <v>3257</v>
      </c>
      <c r="E556" s="2995">
        <v>7694253</v>
      </c>
    </row>
    <row r="557" spans="1:6" s="2993" customFormat="1" ht="24">
      <c r="A557" s="3204"/>
      <c r="B557" s="2991" t="s">
        <v>3785</v>
      </c>
      <c r="C557" s="2994">
        <v>84.35</v>
      </c>
      <c r="D557" s="2993" t="s">
        <v>4487</v>
      </c>
      <c r="E557" s="3002">
        <v>2530500</v>
      </c>
      <c r="F557" s="2993">
        <f t="shared" ref="F557:F558" si="109">E557/C557</f>
        <v>30000.000000000004</v>
      </c>
    </row>
    <row r="558" spans="1:6" s="2993" customFormat="1">
      <c r="A558" s="3204"/>
      <c r="B558" s="2991" t="s">
        <v>3786</v>
      </c>
      <c r="C558" s="2995">
        <v>84.09</v>
      </c>
      <c r="D558" s="2993" t="s">
        <v>3252</v>
      </c>
      <c r="E558" s="2995">
        <v>2522700</v>
      </c>
      <c r="F558" s="2993">
        <f t="shared" si="109"/>
        <v>30000</v>
      </c>
    </row>
    <row r="559" spans="1:6" s="2993" customFormat="1">
      <c r="A559" s="3204"/>
      <c r="B559" s="2991" t="s">
        <v>3787</v>
      </c>
      <c r="C559" s="2994">
        <v>45.51</v>
      </c>
      <c r="D559" s="2993" t="s">
        <v>3254</v>
      </c>
      <c r="E559" s="3002">
        <v>420000</v>
      </c>
    </row>
    <row r="560" spans="1:6" s="2993" customFormat="1">
      <c r="A560" s="3204"/>
      <c r="B560" s="2991" t="s">
        <v>3788</v>
      </c>
      <c r="C560" s="2994">
        <v>45.51</v>
      </c>
      <c r="D560" s="2993" t="s">
        <v>3254</v>
      </c>
      <c r="E560" s="3002">
        <v>420000</v>
      </c>
    </row>
    <row r="561" spans="1:6" s="2993" customFormat="1">
      <c r="A561" s="3204">
        <v>114</v>
      </c>
      <c r="B561" s="2991" t="s">
        <v>3789</v>
      </c>
      <c r="C561" s="2994">
        <v>134.07</v>
      </c>
      <c r="D561" s="2993" t="s">
        <v>3257</v>
      </c>
      <c r="E561" s="3002">
        <v>7694253</v>
      </c>
    </row>
    <row r="562" spans="1:6" s="2993" customFormat="1" ht="24">
      <c r="A562" s="3204"/>
      <c r="B562" s="2991" t="s">
        <v>3790</v>
      </c>
      <c r="C562" s="2995">
        <v>84.35</v>
      </c>
      <c r="D562" s="2993" t="s">
        <v>4487</v>
      </c>
      <c r="E562" s="2995">
        <v>2530500</v>
      </c>
      <c r="F562" s="2993">
        <f t="shared" ref="F562:F563" si="110">E562/C562</f>
        <v>30000.000000000004</v>
      </c>
    </row>
    <row r="563" spans="1:6" s="2993" customFormat="1">
      <c r="A563" s="3204"/>
      <c r="B563" s="2991" t="s">
        <v>3791</v>
      </c>
      <c r="C563" s="2994">
        <v>84.09</v>
      </c>
      <c r="D563" s="2993" t="s">
        <v>3252</v>
      </c>
      <c r="E563" s="3002">
        <v>2522700</v>
      </c>
      <c r="F563" s="2993">
        <f t="shared" si="110"/>
        <v>30000</v>
      </c>
    </row>
    <row r="564" spans="1:6" s="2993" customFormat="1">
      <c r="A564" s="3204"/>
      <c r="B564" s="2991" t="s">
        <v>3792</v>
      </c>
      <c r="C564" s="2994">
        <v>45.51</v>
      </c>
      <c r="D564" s="2993" t="s">
        <v>3254</v>
      </c>
      <c r="E564" s="3002">
        <v>420000</v>
      </c>
    </row>
    <row r="565" spans="1:6" s="2993" customFormat="1">
      <c r="A565" s="3204"/>
      <c r="B565" s="2991" t="s">
        <v>3793</v>
      </c>
      <c r="C565" s="2994">
        <v>45.51</v>
      </c>
      <c r="D565" s="2993" t="s">
        <v>3254</v>
      </c>
      <c r="E565" s="3002">
        <v>420000</v>
      </c>
    </row>
    <row r="566" spans="1:6" s="2993" customFormat="1">
      <c r="A566" s="3204">
        <v>115</v>
      </c>
      <c r="B566" s="2991" t="s">
        <v>3794</v>
      </c>
      <c r="C566" s="2995">
        <v>134.26</v>
      </c>
      <c r="D566" s="2993" t="s">
        <v>3257</v>
      </c>
      <c r="E566" s="2995">
        <v>7824055</v>
      </c>
    </row>
    <row r="567" spans="1:6" s="2993" customFormat="1" ht="24">
      <c r="A567" s="3204"/>
      <c r="B567" s="2991" t="s">
        <v>3795</v>
      </c>
      <c r="C567" s="2994">
        <v>84.61</v>
      </c>
      <c r="D567" s="2993" t="s">
        <v>4487</v>
      </c>
      <c r="E567" s="3002">
        <v>2538300</v>
      </c>
      <c r="F567" s="2993">
        <f t="shared" ref="F567:F568" si="111">E567/C567</f>
        <v>30000</v>
      </c>
    </row>
    <row r="568" spans="1:6" s="2993" customFormat="1">
      <c r="A568" s="3204"/>
      <c r="B568" s="2991" t="s">
        <v>3796</v>
      </c>
      <c r="C568" s="2995">
        <v>84.09</v>
      </c>
      <c r="D568" s="2993" t="s">
        <v>3252</v>
      </c>
      <c r="E568" s="2995">
        <v>2522700</v>
      </c>
      <c r="F568" s="2993">
        <f t="shared" si="111"/>
        <v>30000</v>
      </c>
    </row>
    <row r="569" spans="1:6" s="2993" customFormat="1">
      <c r="A569" s="3204"/>
      <c r="B569" s="2991" t="s">
        <v>3797</v>
      </c>
      <c r="C569" s="2994">
        <v>45.51</v>
      </c>
      <c r="D569" s="2993" t="s">
        <v>3254</v>
      </c>
      <c r="E569" s="3002">
        <v>420000</v>
      </c>
    </row>
    <row r="570" spans="1:6" s="2993" customFormat="1">
      <c r="A570" s="3204"/>
      <c r="B570" s="2991" t="s">
        <v>3798</v>
      </c>
      <c r="C570" s="2994">
        <v>45.51</v>
      </c>
      <c r="D570" s="2993" t="s">
        <v>3254</v>
      </c>
      <c r="E570" s="3002">
        <v>420000</v>
      </c>
    </row>
    <row r="571" spans="1:6" s="2993" customFormat="1">
      <c r="A571" s="3204">
        <v>116</v>
      </c>
      <c r="B571" s="2991" t="s">
        <v>3799</v>
      </c>
      <c r="C571" s="2995">
        <v>134.07</v>
      </c>
      <c r="D571" s="2993" t="s">
        <v>3257</v>
      </c>
      <c r="E571" s="2995">
        <v>7891720</v>
      </c>
    </row>
    <row r="572" spans="1:6" s="2993" customFormat="1" ht="24">
      <c r="A572" s="3204"/>
      <c r="B572" s="2991" t="s">
        <v>3800</v>
      </c>
      <c r="C572" s="2994">
        <v>84.35</v>
      </c>
      <c r="D572" s="2993" t="s">
        <v>4487</v>
      </c>
      <c r="E572" s="3002">
        <v>2530500</v>
      </c>
      <c r="F572" s="2993">
        <f t="shared" ref="F572:F573" si="112">E572/C572</f>
        <v>30000.000000000004</v>
      </c>
    </row>
    <row r="573" spans="1:6" s="2993" customFormat="1">
      <c r="A573" s="3204"/>
      <c r="B573" s="2991" t="s">
        <v>3801</v>
      </c>
      <c r="C573" s="2995">
        <v>84.09</v>
      </c>
      <c r="D573" s="2993" t="s">
        <v>3252</v>
      </c>
      <c r="E573" s="2995">
        <v>2522700</v>
      </c>
      <c r="F573" s="2993">
        <f t="shared" si="112"/>
        <v>30000</v>
      </c>
    </row>
    <row r="574" spans="1:6" s="2993" customFormat="1">
      <c r="A574" s="3204"/>
      <c r="B574" s="2991" t="s">
        <v>3802</v>
      </c>
      <c r="C574" s="2994">
        <v>45.51</v>
      </c>
      <c r="D574" s="2993" t="s">
        <v>3254</v>
      </c>
      <c r="E574" s="3002">
        <v>420000</v>
      </c>
    </row>
    <row r="575" spans="1:6" s="2993" customFormat="1">
      <c r="A575" s="3204"/>
      <c r="B575" s="2991" t="s">
        <v>3803</v>
      </c>
      <c r="C575" s="2994">
        <v>45.51</v>
      </c>
      <c r="D575" s="2993" t="s">
        <v>3254</v>
      </c>
      <c r="E575" s="3002">
        <v>420000</v>
      </c>
    </row>
    <row r="576" spans="1:6" s="2993" customFormat="1">
      <c r="A576" s="3204">
        <v>117</v>
      </c>
      <c r="B576" s="2991" t="s">
        <v>3804</v>
      </c>
      <c r="C576" s="2994">
        <v>134.07</v>
      </c>
      <c r="D576" s="2993" t="s">
        <v>3257</v>
      </c>
      <c r="E576" s="3002">
        <v>7891720</v>
      </c>
    </row>
    <row r="577" spans="1:6" s="2993" customFormat="1" ht="24">
      <c r="A577" s="3204"/>
      <c r="B577" s="2991" t="s">
        <v>3805</v>
      </c>
      <c r="C577" s="2995">
        <v>84.35</v>
      </c>
      <c r="D577" s="2993" t="s">
        <v>4487</v>
      </c>
      <c r="E577" s="2995">
        <v>2530500</v>
      </c>
      <c r="F577" s="2993">
        <f t="shared" ref="F577:F578" si="113">E577/C577</f>
        <v>30000.000000000004</v>
      </c>
    </row>
    <row r="578" spans="1:6" s="2993" customFormat="1">
      <c r="A578" s="3204"/>
      <c r="B578" s="2991" t="s">
        <v>3806</v>
      </c>
      <c r="C578" s="2994">
        <v>84.09</v>
      </c>
      <c r="D578" s="2993" t="s">
        <v>3252</v>
      </c>
      <c r="E578" s="3002">
        <v>2522700</v>
      </c>
      <c r="F578" s="2993">
        <f t="shared" si="113"/>
        <v>30000</v>
      </c>
    </row>
    <row r="579" spans="1:6" s="2993" customFormat="1">
      <c r="A579" s="3204"/>
      <c r="B579" s="2991" t="s">
        <v>3807</v>
      </c>
      <c r="C579" s="2994">
        <v>45.51</v>
      </c>
      <c r="D579" s="2993" t="s">
        <v>3254</v>
      </c>
      <c r="E579" s="3002">
        <v>420000</v>
      </c>
    </row>
    <row r="580" spans="1:6" s="2993" customFormat="1">
      <c r="A580" s="3204"/>
      <c r="B580" s="2991" t="s">
        <v>3808</v>
      </c>
      <c r="C580" s="2994">
        <v>45.51</v>
      </c>
      <c r="D580" s="2993" t="s">
        <v>3254</v>
      </c>
      <c r="E580" s="3002">
        <v>420000</v>
      </c>
    </row>
    <row r="581" spans="1:6" s="2993" customFormat="1">
      <c r="A581" s="3204">
        <v>118</v>
      </c>
      <c r="B581" s="2991" t="s">
        <v>3809</v>
      </c>
      <c r="C581" s="2995">
        <v>134.26</v>
      </c>
      <c r="D581" s="2993" t="s">
        <v>3257</v>
      </c>
      <c r="E581" s="2995">
        <v>8021811</v>
      </c>
    </row>
    <row r="582" spans="1:6" s="2993" customFormat="1" ht="24">
      <c r="A582" s="3204"/>
      <c r="B582" s="2991" t="s">
        <v>3810</v>
      </c>
      <c r="C582" s="2994">
        <v>84.61</v>
      </c>
      <c r="D582" s="2993" t="s">
        <v>4487</v>
      </c>
      <c r="E582" s="3002">
        <v>2538300</v>
      </c>
      <c r="F582" s="2993">
        <f t="shared" ref="F582:F583" si="114">E582/C582</f>
        <v>30000</v>
      </c>
    </row>
    <row r="583" spans="1:6" s="2993" customFormat="1">
      <c r="A583" s="3204"/>
      <c r="B583" s="2991" t="s">
        <v>3811</v>
      </c>
      <c r="C583" s="2995">
        <v>84.09</v>
      </c>
      <c r="D583" s="2993" t="s">
        <v>3252</v>
      </c>
      <c r="E583" s="2995">
        <v>2522700</v>
      </c>
      <c r="F583" s="2993">
        <f t="shared" si="114"/>
        <v>30000</v>
      </c>
    </row>
    <row r="584" spans="1:6" s="2993" customFormat="1">
      <c r="A584" s="3204"/>
      <c r="B584" s="2991" t="s">
        <v>3812</v>
      </c>
      <c r="C584" s="2994">
        <v>45.51</v>
      </c>
      <c r="D584" s="2993" t="s">
        <v>3254</v>
      </c>
      <c r="E584" s="3002">
        <v>420000</v>
      </c>
    </row>
    <row r="585" spans="1:6" s="2993" customFormat="1">
      <c r="A585" s="3204"/>
      <c r="B585" s="2991" t="s">
        <v>3813</v>
      </c>
      <c r="C585" s="2994">
        <v>45.51</v>
      </c>
      <c r="D585" s="2993" t="s">
        <v>3254</v>
      </c>
      <c r="E585" s="3002">
        <v>420000</v>
      </c>
    </row>
    <row r="586" spans="1:6" s="2993" customFormat="1">
      <c r="A586" s="3204">
        <v>119</v>
      </c>
      <c r="B586" s="2991" t="s">
        <v>3814</v>
      </c>
      <c r="C586" s="2994">
        <v>134.02000000000001</v>
      </c>
      <c r="D586" s="2993" t="s">
        <v>3257</v>
      </c>
      <c r="E586" s="3002">
        <v>8511342</v>
      </c>
    </row>
    <row r="587" spans="1:6" s="2993" customFormat="1" ht="24">
      <c r="A587" s="3204"/>
      <c r="B587" s="2991" t="s">
        <v>3815</v>
      </c>
      <c r="C587" s="2995">
        <v>84.18</v>
      </c>
      <c r="D587" s="2993" t="s">
        <v>4487</v>
      </c>
      <c r="E587" s="2995">
        <v>2525400</v>
      </c>
      <c r="F587" s="2993">
        <f t="shared" ref="F587:F588" si="115">E587/C587</f>
        <v>29999.999999999996</v>
      </c>
    </row>
    <row r="588" spans="1:6" s="2993" customFormat="1">
      <c r="A588" s="3204"/>
      <c r="B588" s="2991" t="s">
        <v>3816</v>
      </c>
      <c r="C588" s="2994">
        <v>83.36</v>
      </c>
      <c r="D588" s="2993" t="s">
        <v>3379</v>
      </c>
      <c r="E588" s="3002">
        <v>2500800</v>
      </c>
      <c r="F588" s="2993">
        <f t="shared" si="115"/>
        <v>30000</v>
      </c>
    </row>
    <row r="589" spans="1:6" s="2993" customFormat="1">
      <c r="A589" s="3204"/>
      <c r="B589" s="2991" t="s">
        <v>3817</v>
      </c>
      <c r="C589" s="2994">
        <v>45.51</v>
      </c>
      <c r="D589" s="2993" t="s">
        <v>3381</v>
      </c>
      <c r="E589" s="3002">
        <v>420000</v>
      </c>
    </row>
    <row r="590" spans="1:6" s="2993" customFormat="1">
      <c r="A590" s="3204"/>
      <c r="B590" s="2991" t="s">
        <v>3818</v>
      </c>
      <c r="C590" s="2994">
        <v>45.51</v>
      </c>
      <c r="D590" s="2993" t="s">
        <v>3381</v>
      </c>
      <c r="E590" s="3002">
        <v>420000</v>
      </c>
    </row>
    <row r="591" spans="1:6" s="2993" customFormat="1">
      <c r="A591" s="3204">
        <v>120</v>
      </c>
      <c r="B591" s="2991" t="s">
        <v>3819</v>
      </c>
      <c r="C591" s="2995">
        <v>134.02000000000001</v>
      </c>
      <c r="D591" s="2993" t="s">
        <v>3384</v>
      </c>
      <c r="E591" s="2995">
        <v>7691338</v>
      </c>
    </row>
    <row r="592" spans="1:6" s="2993" customFormat="1" ht="24">
      <c r="A592" s="3204"/>
      <c r="B592" s="2991" t="s">
        <v>3820</v>
      </c>
      <c r="C592" s="2994">
        <v>84.33</v>
      </c>
      <c r="D592" s="2993" t="s">
        <v>4487</v>
      </c>
      <c r="E592" s="3002">
        <v>2529900</v>
      </c>
      <c r="F592" s="2993">
        <f t="shared" ref="F592:F593" si="116">E592/C592</f>
        <v>30000</v>
      </c>
    </row>
    <row r="593" spans="1:6" s="2993" customFormat="1">
      <c r="A593" s="3204"/>
      <c r="B593" s="2991" t="s">
        <v>3821</v>
      </c>
      <c r="C593" s="2995">
        <v>84.08</v>
      </c>
      <c r="D593" s="2993" t="s">
        <v>3252</v>
      </c>
      <c r="E593" s="2995">
        <v>2522400</v>
      </c>
      <c r="F593" s="2993">
        <f t="shared" si="116"/>
        <v>30000</v>
      </c>
    </row>
    <row r="594" spans="1:6" s="2993" customFormat="1">
      <c r="A594" s="3204"/>
      <c r="B594" s="2991" t="s">
        <v>3822</v>
      </c>
      <c r="C594" s="2994">
        <v>45.51</v>
      </c>
      <c r="D594" s="2993" t="s">
        <v>3254</v>
      </c>
      <c r="E594" s="3002">
        <v>420000</v>
      </c>
    </row>
    <row r="595" spans="1:6" s="2993" customFormat="1">
      <c r="A595" s="3204"/>
      <c r="B595" s="2991" t="s">
        <v>3823</v>
      </c>
      <c r="C595" s="2994">
        <v>45.51</v>
      </c>
      <c r="D595" s="2993" t="s">
        <v>3254</v>
      </c>
      <c r="E595" s="3002">
        <v>420000</v>
      </c>
    </row>
    <row r="596" spans="1:6" s="2993" customFormat="1">
      <c r="A596" s="3204">
        <v>121</v>
      </c>
      <c r="B596" s="2991" t="s">
        <v>3824</v>
      </c>
      <c r="C596" s="2994">
        <v>134.02000000000001</v>
      </c>
      <c r="D596" s="2993" t="s">
        <v>3257</v>
      </c>
      <c r="E596" s="3002">
        <v>7691338</v>
      </c>
    </row>
    <row r="597" spans="1:6" s="2993" customFormat="1" ht="24">
      <c r="A597" s="3204"/>
      <c r="B597" s="2991" t="s">
        <v>3825</v>
      </c>
      <c r="C597" s="2995">
        <v>84.33</v>
      </c>
      <c r="D597" s="2993" t="s">
        <v>4487</v>
      </c>
      <c r="E597" s="2995">
        <v>2529900</v>
      </c>
      <c r="F597" s="2993">
        <f t="shared" ref="F597:F598" si="117">E597/C597</f>
        <v>30000</v>
      </c>
    </row>
    <row r="598" spans="1:6" s="2997" customFormat="1">
      <c r="A598" s="3204"/>
      <c r="B598" s="2991" t="s">
        <v>3826</v>
      </c>
      <c r="C598" s="2994">
        <v>84.08</v>
      </c>
      <c r="D598" s="2993" t="s">
        <v>3241</v>
      </c>
      <c r="E598" s="3002">
        <v>2522400</v>
      </c>
      <c r="F598" s="2993">
        <f t="shared" si="117"/>
        <v>30000</v>
      </c>
    </row>
    <row r="599" spans="1:6" s="2993" customFormat="1">
      <c r="A599" s="3204"/>
      <c r="B599" s="2991" t="s">
        <v>3827</v>
      </c>
      <c r="C599" s="2994">
        <v>45.51</v>
      </c>
      <c r="D599" s="2993" t="s">
        <v>3381</v>
      </c>
      <c r="E599" s="3002">
        <v>420000</v>
      </c>
    </row>
    <row r="600" spans="1:6" s="2993" customFormat="1">
      <c r="A600" s="3204"/>
      <c r="B600" s="2991" t="s">
        <v>3828</v>
      </c>
      <c r="C600" s="2994">
        <v>45.51</v>
      </c>
      <c r="D600" s="2993" t="s">
        <v>3381</v>
      </c>
      <c r="E600" s="3002">
        <v>420000</v>
      </c>
    </row>
    <row r="601" spans="1:6" s="2993" customFormat="1">
      <c r="A601" s="3204">
        <v>122</v>
      </c>
      <c r="B601" s="2991" t="s">
        <v>3829</v>
      </c>
      <c r="C601" s="2994">
        <v>134.02000000000001</v>
      </c>
      <c r="D601" s="2993" t="s">
        <v>3384</v>
      </c>
      <c r="E601" s="3002">
        <v>8511342</v>
      </c>
    </row>
    <row r="602" spans="1:6" s="2993" customFormat="1" ht="24">
      <c r="A602" s="3204"/>
      <c r="B602" s="2991" t="s">
        <v>3830</v>
      </c>
      <c r="C602" s="2995">
        <v>84.18</v>
      </c>
      <c r="D602" s="2993" t="s">
        <v>4487</v>
      </c>
      <c r="E602" s="2995">
        <v>2525400</v>
      </c>
      <c r="F602" s="2993">
        <f t="shared" ref="F602:F603" si="118">E602/C602</f>
        <v>29999.999999999996</v>
      </c>
    </row>
    <row r="603" spans="1:6" s="2993" customFormat="1">
      <c r="A603" s="3204"/>
      <c r="B603" s="2991" t="s">
        <v>3831</v>
      </c>
      <c r="C603" s="2994">
        <v>83.36</v>
      </c>
      <c r="D603" s="2993" t="s">
        <v>3379</v>
      </c>
      <c r="E603" s="3002">
        <v>2500800</v>
      </c>
      <c r="F603" s="2993">
        <f t="shared" si="118"/>
        <v>30000</v>
      </c>
    </row>
    <row r="604" spans="1:6" s="2993" customFormat="1">
      <c r="A604" s="3204"/>
      <c r="B604" s="2991" t="s">
        <v>3832</v>
      </c>
      <c r="C604" s="2994">
        <v>45.51</v>
      </c>
      <c r="D604" s="2993" t="s">
        <v>3381</v>
      </c>
      <c r="E604" s="3002">
        <v>420000</v>
      </c>
    </row>
    <row r="605" spans="1:6" s="2993" customFormat="1">
      <c r="A605" s="3204"/>
      <c r="B605" s="2991" t="s">
        <v>3833</v>
      </c>
      <c r="C605" s="2994">
        <v>45.51</v>
      </c>
      <c r="D605" s="2993" t="s">
        <v>3381</v>
      </c>
      <c r="E605" s="3002">
        <v>420000</v>
      </c>
    </row>
    <row r="606" spans="1:6" s="2993" customFormat="1">
      <c r="A606" s="3204">
        <v>123</v>
      </c>
      <c r="B606" s="2991" t="s">
        <v>3834</v>
      </c>
      <c r="C606" s="2994">
        <v>134.02000000000001</v>
      </c>
      <c r="D606" s="2993" t="s">
        <v>3384</v>
      </c>
      <c r="E606" s="3002">
        <v>7967708</v>
      </c>
    </row>
    <row r="607" spans="1:6" s="2993" customFormat="1" ht="24">
      <c r="A607" s="3204"/>
      <c r="B607" s="2991" t="s">
        <v>3835</v>
      </c>
      <c r="C607" s="2995">
        <v>84.33</v>
      </c>
      <c r="D607" s="2993" t="s">
        <v>4487</v>
      </c>
      <c r="E607" s="2995">
        <v>2529900</v>
      </c>
      <c r="F607" s="2993">
        <f t="shared" ref="F607:F608" si="119">E607/C607</f>
        <v>30000</v>
      </c>
    </row>
    <row r="608" spans="1:6" s="2993" customFormat="1">
      <c r="A608" s="3204"/>
      <c r="B608" s="2991" t="s">
        <v>3836</v>
      </c>
      <c r="C608" s="2994">
        <v>84.08</v>
      </c>
      <c r="D608" s="2993" t="s">
        <v>3379</v>
      </c>
      <c r="E608" s="3002">
        <v>2522400</v>
      </c>
      <c r="F608" s="2993">
        <f t="shared" si="119"/>
        <v>30000</v>
      </c>
    </row>
    <row r="609" spans="1:6" s="2993" customFormat="1">
      <c r="A609" s="3204"/>
      <c r="B609" s="2991" t="s">
        <v>3837</v>
      </c>
      <c r="C609" s="2994">
        <v>45.51</v>
      </c>
      <c r="D609" s="2993" t="s">
        <v>3381</v>
      </c>
      <c r="E609" s="3002">
        <v>420000</v>
      </c>
    </row>
    <row r="610" spans="1:6" s="2993" customFormat="1">
      <c r="A610" s="3204"/>
      <c r="B610" s="2991" t="s">
        <v>3838</v>
      </c>
      <c r="C610" s="2994">
        <v>45.51</v>
      </c>
      <c r="D610" s="2993" t="s">
        <v>3381</v>
      </c>
      <c r="E610" s="3002">
        <v>420000</v>
      </c>
    </row>
    <row r="611" spans="1:6" s="2993" customFormat="1">
      <c r="A611" s="3204">
        <v>124</v>
      </c>
      <c r="B611" s="2991" t="s">
        <v>3839</v>
      </c>
      <c r="C611" s="2996">
        <v>223.12</v>
      </c>
      <c r="D611" s="2993" t="s">
        <v>3384</v>
      </c>
      <c r="E611" s="2996">
        <v>14169905</v>
      </c>
    </row>
    <row r="612" spans="1:6" s="2993" customFormat="1" ht="24">
      <c r="A612" s="3204"/>
      <c r="B612" s="2991" t="s">
        <v>3840</v>
      </c>
      <c r="C612" s="2996">
        <v>292.07</v>
      </c>
      <c r="D612" s="2993" t="s">
        <v>4487</v>
      </c>
      <c r="E612" s="2996">
        <v>8762100</v>
      </c>
      <c r="F612" s="2993">
        <f t="shared" ref="F612:F613" si="120">E612/C612</f>
        <v>30000</v>
      </c>
    </row>
    <row r="613" spans="1:6" s="2993" customFormat="1">
      <c r="A613" s="3204"/>
      <c r="B613" s="2991" t="s">
        <v>3841</v>
      </c>
      <c r="C613" s="2992">
        <v>70.25</v>
      </c>
      <c r="D613" s="2993" t="s">
        <v>3252</v>
      </c>
      <c r="E613" s="2992">
        <v>2107500</v>
      </c>
      <c r="F613" s="2993">
        <f t="shared" si="120"/>
        <v>30000</v>
      </c>
    </row>
    <row r="614" spans="1:6" s="2993" customFormat="1">
      <c r="A614" s="3204"/>
      <c r="B614" s="2991" t="s">
        <v>3842</v>
      </c>
      <c r="C614" s="2994">
        <v>45.51</v>
      </c>
      <c r="D614" s="2993" t="s">
        <v>3254</v>
      </c>
      <c r="E614" s="3002">
        <v>420000</v>
      </c>
    </row>
    <row r="615" spans="1:6" s="2993" customFormat="1">
      <c r="A615" s="3204"/>
      <c r="B615" s="2991" t="s">
        <v>3843</v>
      </c>
      <c r="C615" s="2994">
        <v>45.51</v>
      </c>
      <c r="D615" s="2993" t="s">
        <v>3254</v>
      </c>
      <c r="E615" s="3002">
        <v>420000</v>
      </c>
    </row>
    <row r="616" spans="1:6" s="2993" customFormat="1">
      <c r="A616" s="3204">
        <v>125</v>
      </c>
      <c r="B616" s="2991" t="s">
        <v>3844</v>
      </c>
      <c r="C616" s="2996">
        <v>223.02</v>
      </c>
      <c r="D616" s="2993" t="s">
        <v>3257</v>
      </c>
      <c r="E616" s="2996">
        <v>14163554</v>
      </c>
    </row>
    <row r="617" spans="1:6" s="2993" customFormat="1" ht="24">
      <c r="A617" s="3204"/>
      <c r="B617" s="2991" t="s">
        <v>3845</v>
      </c>
      <c r="C617" s="2996">
        <v>292.10000000000002</v>
      </c>
      <c r="D617" s="2993" t="s">
        <v>4487</v>
      </c>
      <c r="E617" s="2996">
        <v>8763000</v>
      </c>
      <c r="F617" s="2993">
        <f t="shared" ref="F617:F618" si="121">E617/C617</f>
        <v>29999.999999999996</v>
      </c>
    </row>
    <row r="618" spans="1:6" s="2993" customFormat="1">
      <c r="A618" s="3204"/>
      <c r="B618" s="2991" t="s">
        <v>3846</v>
      </c>
      <c r="C618" s="2996">
        <v>70.25</v>
      </c>
      <c r="D618" s="2993" t="s">
        <v>3252</v>
      </c>
      <c r="E618" s="2996">
        <v>2107500</v>
      </c>
      <c r="F618" s="2993">
        <f t="shared" si="121"/>
        <v>30000</v>
      </c>
    </row>
    <row r="619" spans="1:6" s="2993" customFormat="1">
      <c r="A619" s="3204"/>
      <c r="B619" s="2991" t="s">
        <v>3847</v>
      </c>
      <c r="C619" s="2994">
        <v>45.51</v>
      </c>
      <c r="D619" s="2993" t="s">
        <v>3254</v>
      </c>
      <c r="E619" s="3002">
        <v>420000</v>
      </c>
    </row>
    <row r="620" spans="1:6" s="2993" customFormat="1">
      <c r="A620" s="3204"/>
      <c r="B620" s="2991" t="s">
        <v>3848</v>
      </c>
      <c r="C620" s="2994">
        <v>45.51</v>
      </c>
      <c r="D620" s="2993" t="s">
        <v>3254</v>
      </c>
      <c r="E620" s="3002">
        <v>420000</v>
      </c>
    </row>
    <row r="621" spans="1:6" s="2993" customFormat="1">
      <c r="A621" s="3204">
        <v>126</v>
      </c>
      <c r="B621" s="2991" t="s">
        <v>3849</v>
      </c>
      <c r="C621" s="2998">
        <v>223.12</v>
      </c>
      <c r="D621" s="2993" t="s">
        <v>3257</v>
      </c>
      <c r="E621" s="2991">
        <v>14169905</v>
      </c>
    </row>
    <row r="622" spans="1:6" s="2993" customFormat="1" ht="24">
      <c r="A622" s="3204"/>
      <c r="B622" s="2991" t="s">
        <v>3850</v>
      </c>
      <c r="C622" s="2998">
        <v>292.07</v>
      </c>
      <c r="D622" s="2993" t="s">
        <v>4487</v>
      </c>
      <c r="E622" s="2991">
        <v>8762100</v>
      </c>
      <c r="F622" s="2993">
        <f t="shared" ref="F622:F623" si="122">E622/C622</f>
        <v>30000</v>
      </c>
    </row>
    <row r="623" spans="1:6" s="2993" customFormat="1">
      <c r="A623" s="3204"/>
      <c r="B623" s="2991" t="s">
        <v>3851</v>
      </c>
      <c r="C623" s="2992">
        <v>70.25</v>
      </c>
      <c r="D623" s="2993" t="s">
        <v>3252</v>
      </c>
      <c r="E623" s="2992">
        <v>2107500</v>
      </c>
      <c r="F623" s="2993">
        <f t="shared" si="122"/>
        <v>30000</v>
      </c>
    </row>
    <row r="624" spans="1:6" s="2993" customFormat="1">
      <c r="A624" s="3204"/>
      <c r="B624" s="2991" t="s">
        <v>3852</v>
      </c>
      <c r="C624" s="2994">
        <v>45.51</v>
      </c>
      <c r="D624" s="2993" t="s">
        <v>3254</v>
      </c>
      <c r="E624" s="3002">
        <v>420000</v>
      </c>
    </row>
    <row r="625" spans="1:6" s="2993" customFormat="1">
      <c r="A625" s="3204"/>
      <c r="B625" s="2991" t="s">
        <v>3853</v>
      </c>
      <c r="C625" s="2994">
        <v>45.51</v>
      </c>
      <c r="D625" s="2993" t="s">
        <v>3235</v>
      </c>
      <c r="E625" s="3002">
        <v>420000</v>
      </c>
    </row>
    <row r="626" spans="1:6" s="2993" customFormat="1">
      <c r="A626" s="3204">
        <v>127</v>
      </c>
      <c r="B626" s="2991" t="s">
        <v>3854</v>
      </c>
      <c r="C626" s="2992">
        <v>223.02</v>
      </c>
      <c r="D626" s="2993" t="s">
        <v>3238</v>
      </c>
      <c r="E626" s="2995">
        <v>14163554</v>
      </c>
    </row>
    <row r="627" spans="1:6" s="2993" customFormat="1" ht="24">
      <c r="A627" s="3204"/>
      <c r="B627" s="2991" t="s">
        <v>3855</v>
      </c>
      <c r="C627" s="2992">
        <v>292.10000000000002</v>
      </c>
      <c r="D627" s="2993" t="s">
        <v>4487</v>
      </c>
      <c r="E627" s="2995">
        <v>8763000</v>
      </c>
      <c r="F627" s="2993">
        <f t="shared" ref="F627:F628" si="123">E627/C627</f>
        <v>29999.999999999996</v>
      </c>
    </row>
    <row r="628" spans="1:6" s="2993" customFormat="1">
      <c r="A628" s="3204"/>
      <c r="B628" s="2991" t="s">
        <v>3856</v>
      </c>
      <c r="C628" s="2992">
        <v>70.25</v>
      </c>
      <c r="D628" s="2993" t="s">
        <v>3241</v>
      </c>
      <c r="E628" s="2992">
        <v>2107500</v>
      </c>
      <c r="F628" s="2993">
        <f t="shared" si="123"/>
        <v>30000</v>
      </c>
    </row>
    <row r="629" spans="1:6" s="2993" customFormat="1">
      <c r="A629" s="3204"/>
      <c r="B629" s="2991" t="s">
        <v>3857</v>
      </c>
      <c r="C629" s="2994">
        <v>45.51</v>
      </c>
      <c r="D629" s="2993" t="s">
        <v>3235</v>
      </c>
      <c r="E629" s="3002">
        <v>420000</v>
      </c>
    </row>
    <row r="630" spans="1:6" s="2993" customFormat="1">
      <c r="A630" s="3204"/>
      <c r="B630" s="2991" t="s">
        <v>3858</v>
      </c>
      <c r="C630" s="2994">
        <v>45.51</v>
      </c>
      <c r="D630" s="2993" t="s">
        <v>3235</v>
      </c>
      <c r="E630" s="3002">
        <v>420000</v>
      </c>
    </row>
    <row r="631" spans="1:6" s="2993" customFormat="1">
      <c r="A631" s="3204">
        <v>128</v>
      </c>
      <c r="B631" s="2991" t="s">
        <v>3859</v>
      </c>
      <c r="C631" s="2994">
        <v>134.21</v>
      </c>
      <c r="D631" s="2993" t="s">
        <v>3238</v>
      </c>
      <c r="E631" s="3002">
        <v>7900219</v>
      </c>
    </row>
    <row r="632" spans="1:6" s="2993" customFormat="1" ht="24">
      <c r="A632" s="3204"/>
      <c r="B632" s="2991" t="s">
        <v>3860</v>
      </c>
      <c r="C632" s="2995">
        <v>84.6</v>
      </c>
      <c r="D632" s="2993" t="s">
        <v>4487</v>
      </c>
      <c r="E632" s="2995">
        <v>2538000</v>
      </c>
      <c r="F632" s="2993">
        <f t="shared" ref="F632:F633" si="124">E632/C632</f>
        <v>30000.000000000004</v>
      </c>
    </row>
    <row r="633" spans="1:6" s="2993" customFormat="1">
      <c r="A633" s="3204"/>
      <c r="B633" s="2991" t="s">
        <v>3861</v>
      </c>
      <c r="C633" s="2994">
        <v>84.08</v>
      </c>
      <c r="D633" s="2993" t="s">
        <v>3241</v>
      </c>
      <c r="E633" s="3002">
        <v>2522400</v>
      </c>
      <c r="F633" s="2993">
        <f t="shared" si="124"/>
        <v>30000</v>
      </c>
    </row>
    <row r="634" spans="1:6" s="2993" customFormat="1">
      <c r="A634" s="3204"/>
      <c r="B634" s="2991" t="s">
        <v>3862</v>
      </c>
      <c r="C634" s="2994">
        <v>45.51</v>
      </c>
      <c r="D634" s="2993" t="s">
        <v>3235</v>
      </c>
      <c r="E634" s="3002">
        <v>420000</v>
      </c>
    </row>
    <row r="635" spans="1:6" s="2993" customFormat="1">
      <c r="A635" s="3204"/>
      <c r="B635" s="2991" t="s">
        <v>3863</v>
      </c>
      <c r="C635" s="2994">
        <v>45.51</v>
      </c>
      <c r="D635" s="2993" t="s">
        <v>3235</v>
      </c>
      <c r="E635" s="3002">
        <v>420000</v>
      </c>
    </row>
    <row r="636" spans="1:6" s="2993" customFormat="1">
      <c r="A636" s="3204">
        <v>129</v>
      </c>
      <c r="B636" s="2991" t="s">
        <v>3864</v>
      </c>
      <c r="C636" s="2994">
        <v>134.02000000000001</v>
      </c>
      <c r="D636" s="2993" t="s">
        <v>3238</v>
      </c>
      <c r="E636" s="3002">
        <v>7888745</v>
      </c>
    </row>
    <row r="637" spans="1:6" s="2993" customFormat="1" ht="24">
      <c r="A637" s="3204"/>
      <c r="B637" s="2991" t="s">
        <v>3865</v>
      </c>
      <c r="C637" s="2994">
        <v>84.33</v>
      </c>
      <c r="D637" s="2993" t="s">
        <v>4487</v>
      </c>
      <c r="E637" s="3002">
        <v>2529900</v>
      </c>
      <c r="F637" s="2993">
        <f t="shared" ref="F637:F638" si="125">E637/C637</f>
        <v>30000</v>
      </c>
    </row>
    <row r="638" spans="1:6" s="2993" customFormat="1">
      <c r="A638" s="3204"/>
      <c r="B638" s="2991" t="s">
        <v>3866</v>
      </c>
      <c r="C638" s="2994">
        <v>84.08</v>
      </c>
      <c r="D638" s="2993" t="s">
        <v>3241</v>
      </c>
      <c r="E638" s="3002">
        <v>2522400</v>
      </c>
      <c r="F638" s="2993">
        <f t="shared" si="125"/>
        <v>30000</v>
      </c>
    </row>
    <row r="639" spans="1:6" s="2993" customFormat="1">
      <c r="A639" s="3204"/>
      <c r="B639" s="2991" t="s">
        <v>3867</v>
      </c>
      <c r="C639" s="2994">
        <v>45.51</v>
      </c>
      <c r="D639" s="2993" t="s">
        <v>3235</v>
      </c>
      <c r="E639" s="3002">
        <v>420000</v>
      </c>
    </row>
    <row r="640" spans="1:6" s="2993" customFormat="1">
      <c r="A640" s="3204"/>
      <c r="B640" s="2991" t="s">
        <v>3868</v>
      </c>
      <c r="C640" s="2994">
        <v>45.51</v>
      </c>
      <c r="D640" s="2993" t="s">
        <v>3235</v>
      </c>
      <c r="E640" s="3002">
        <v>420000</v>
      </c>
    </row>
    <row r="641" spans="1:6" s="2993" customFormat="1">
      <c r="A641" s="3204">
        <v>130</v>
      </c>
      <c r="B641" s="2991" t="s">
        <v>3869</v>
      </c>
      <c r="C641" s="2994">
        <v>134.02000000000001</v>
      </c>
      <c r="D641" s="2993" t="s">
        <v>3238</v>
      </c>
      <c r="E641" s="3002">
        <v>7888745</v>
      </c>
    </row>
    <row r="642" spans="1:6" s="2993" customFormat="1" ht="24">
      <c r="A642" s="3204"/>
      <c r="B642" s="2991" t="s">
        <v>3870</v>
      </c>
      <c r="C642" s="2994">
        <v>84.33</v>
      </c>
      <c r="D642" s="2993" t="s">
        <v>4487</v>
      </c>
      <c r="E642" s="3002">
        <v>2529900</v>
      </c>
      <c r="F642" s="2993">
        <f t="shared" ref="F642:F643" si="126">E642/C642</f>
        <v>30000</v>
      </c>
    </row>
    <row r="643" spans="1:6" s="2993" customFormat="1">
      <c r="A643" s="3204"/>
      <c r="B643" s="2991" t="s">
        <v>3871</v>
      </c>
      <c r="C643" s="2994">
        <v>84.08</v>
      </c>
      <c r="D643" s="2993" t="s">
        <v>3241</v>
      </c>
      <c r="E643" s="3002">
        <v>2522400</v>
      </c>
      <c r="F643" s="2993">
        <f t="shared" si="126"/>
        <v>30000</v>
      </c>
    </row>
    <row r="644" spans="1:6" s="2993" customFormat="1">
      <c r="A644" s="3204"/>
      <c r="B644" s="2991" t="s">
        <v>3872</v>
      </c>
      <c r="C644" s="2994">
        <v>45.51</v>
      </c>
      <c r="D644" s="2993" t="s">
        <v>3235</v>
      </c>
      <c r="E644" s="3002">
        <v>420000</v>
      </c>
    </row>
    <row r="645" spans="1:6" s="2993" customFormat="1">
      <c r="A645" s="3204"/>
      <c r="B645" s="2991" t="s">
        <v>3873</v>
      </c>
      <c r="C645" s="2994">
        <v>45.51</v>
      </c>
      <c r="D645" s="2993" t="s">
        <v>3235</v>
      </c>
      <c r="E645" s="3002">
        <v>420000</v>
      </c>
    </row>
    <row r="646" spans="1:6" s="2993" customFormat="1">
      <c r="A646" s="3204">
        <v>131</v>
      </c>
      <c r="B646" s="2991" t="s">
        <v>3874</v>
      </c>
      <c r="C646" s="2994">
        <v>134.21</v>
      </c>
      <c r="D646" s="2993" t="s">
        <v>3238</v>
      </c>
      <c r="E646" s="3002">
        <v>8018840</v>
      </c>
    </row>
    <row r="647" spans="1:6" s="2993" customFormat="1" ht="24">
      <c r="A647" s="3204"/>
      <c r="B647" s="2991" t="s">
        <v>3875</v>
      </c>
      <c r="C647" s="2994">
        <v>84.6</v>
      </c>
      <c r="D647" s="2993" t="s">
        <v>4487</v>
      </c>
      <c r="E647" s="3002">
        <v>2538000</v>
      </c>
      <c r="F647" s="2993">
        <f t="shared" ref="F647:F648" si="127">E647/C647</f>
        <v>30000.000000000004</v>
      </c>
    </row>
    <row r="648" spans="1:6" s="2993" customFormat="1">
      <c r="A648" s="3204"/>
      <c r="B648" s="2991" t="s">
        <v>3876</v>
      </c>
      <c r="C648" s="2994">
        <v>84.08</v>
      </c>
      <c r="D648" s="2993" t="s">
        <v>3241</v>
      </c>
      <c r="E648" s="3002">
        <v>2522400</v>
      </c>
      <c r="F648" s="2993">
        <f t="shared" si="127"/>
        <v>30000</v>
      </c>
    </row>
    <row r="649" spans="1:6" s="2993" customFormat="1">
      <c r="A649" s="3204"/>
      <c r="B649" s="2991" t="s">
        <v>3877</v>
      </c>
      <c r="C649" s="2994">
        <v>45.51</v>
      </c>
      <c r="D649" s="2993" t="s">
        <v>3235</v>
      </c>
      <c r="E649" s="3002">
        <v>420000</v>
      </c>
    </row>
    <row r="650" spans="1:6" s="2993" customFormat="1">
      <c r="A650" s="3204"/>
      <c r="B650" s="2991" t="s">
        <v>3878</v>
      </c>
      <c r="C650" s="2994">
        <v>45.51</v>
      </c>
      <c r="D650" s="2993" t="s">
        <v>3235</v>
      </c>
      <c r="E650" s="3002">
        <v>420000</v>
      </c>
    </row>
    <row r="651" spans="1:6" s="2993" customFormat="1">
      <c r="A651" s="3204">
        <v>132</v>
      </c>
      <c r="B651" s="2991" t="s">
        <v>3879</v>
      </c>
      <c r="C651" s="2996">
        <v>134.02000000000001</v>
      </c>
      <c r="D651" s="2993" t="s">
        <v>3238</v>
      </c>
      <c r="E651" s="2996">
        <v>7888745</v>
      </c>
    </row>
    <row r="652" spans="1:6" s="2993" customFormat="1" ht="24">
      <c r="A652" s="3204"/>
      <c r="B652" s="2991" t="s">
        <v>3880</v>
      </c>
      <c r="C652" s="2996">
        <v>84.33</v>
      </c>
      <c r="D652" s="2993" t="s">
        <v>4487</v>
      </c>
      <c r="E652" s="3002">
        <v>2529900</v>
      </c>
      <c r="F652" s="2993">
        <f t="shared" ref="F652:F653" si="128">E652/C652</f>
        <v>30000</v>
      </c>
    </row>
    <row r="653" spans="1:6" s="2993" customFormat="1">
      <c r="A653" s="3204"/>
      <c r="B653" s="2991" t="s">
        <v>3881</v>
      </c>
      <c r="C653" s="2996">
        <v>84.08</v>
      </c>
      <c r="D653" s="2993" t="s">
        <v>3241</v>
      </c>
      <c r="E653" s="2996">
        <v>2522400</v>
      </c>
      <c r="F653" s="2993">
        <f t="shared" si="128"/>
        <v>30000</v>
      </c>
    </row>
    <row r="654" spans="1:6" s="2993" customFormat="1">
      <c r="A654" s="3204"/>
      <c r="B654" s="2991" t="s">
        <v>3882</v>
      </c>
      <c r="C654" s="2994">
        <v>45.51</v>
      </c>
      <c r="D654" s="2993" t="s">
        <v>3235</v>
      </c>
      <c r="E654" s="3002">
        <v>420000</v>
      </c>
    </row>
    <row r="655" spans="1:6" s="2993" customFormat="1">
      <c r="A655" s="3204"/>
      <c r="B655" s="2991" t="s">
        <v>3883</v>
      </c>
      <c r="C655" s="2994">
        <v>45.51</v>
      </c>
      <c r="D655" s="2993" t="s">
        <v>3235</v>
      </c>
      <c r="E655" s="3002">
        <v>420000</v>
      </c>
    </row>
    <row r="656" spans="1:6" s="2993" customFormat="1">
      <c r="A656" s="3204">
        <v>133</v>
      </c>
      <c r="B656" s="2991" t="s">
        <v>3884</v>
      </c>
      <c r="C656" s="2996">
        <v>134.02000000000001</v>
      </c>
      <c r="D656" s="2993" t="s">
        <v>3238</v>
      </c>
      <c r="E656" s="2996">
        <v>7888745</v>
      </c>
    </row>
    <row r="657" spans="1:6" s="2993" customFormat="1" ht="24">
      <c r="A657" s="3204"/>
      <c r="B657" s="2991" t="s">
        <v>3885</v>
      </c>
      <c r="C657" s="2996">
        <v>84.33</v>
      </c>
      <c r="D657" s="2993" t="s">
        <v>4487</v>
      </c>
      <c r="E657" s="3002">
        <v>2529900</v>
      </c>
      <c r="F657" s="2993">
        <f t="shared" ref="F657:F658" si="129">E657/C657</f>
        <v>30000</v>
      </c>
    </row>
    <row r="658" spans="1:6" s="2993" customFormat="1">
      <c r="A658" s="3204"/>
      <c r="B658" s="2991" t="s">
        <v>3886</v>
      </c>
      <c r="C658" s="2996">
        <v>84.08</v>
      </c>
      <c r="D658" s="2993" t="s">
        <v>3241</v>
      </c>
      <c r="E658" s="2996">
        <v>2522400</v>
      </c>
      <c r="F658" s="2993">
        <f t="shared" si="129"/>
        <v>30000</v>
      </c>
    </row>
    <row r="659" spans="1:6" s="2993" customFormat="1">
      <c r="A659" s="3204"/>
      <c r="B659" s="2991" t="s">
        <v>3887</v>
      </c>
      <c r="C659" s="2994">
        <v>45.51</v>
      </c>
      <c r="D659" s="2993" t="s">
        <v>3235</v>
      </c>
      <c r="E659" s="3002">
        <v>420000</v>
      </c>
    </row>
    <row r="660" spans="1:6" s="2993" customFormat="1">
      <c r="A660" s="3204"/>
      <c r="B660" s="2991" t="s">
        <v>3888</v>
      </c>
      <c r="C660" s="2994">
        <v>45.51</v>
      </c>
      <c r="D660" s="2993" t="s">
        <v>3235</v>
      </c>
      <c r="E660" s="3002">
        <v>420000</v>
      </c>
    </row>
    <row r="661" spans="1:6" s="2993" customFormat="1">
      <c r="A661" s="3204">
        <v>134</v>
      </c>
      <c r="B661" s="2991" t="s">
        <v>3889</v>
      </c>
      <c r="C661" s="2996">
        <v>134.21</v>
      </c>
      <c r="D661" s="2993" t="s">
        <v>3238</v>
      </c>
      <c r="E661" s="2996">
        <v>8018840</v>
      </c>
    </row>
    <row r="662" spans="1:6" s="2993" customFormat="1" ht="24">
      <c r="A662" s="3204"/>
      <c r="B662" s="2991" t="s">
        <v>3890</v>
      </c>
      <c r="C662" s="2994">
        <v>84.6</v>
      </c>
      <c r="D662" s="2993" t="s">
        <v>4487</v>
      </c>
      <c r="E662" s="3002">
        <v>2538000</v>
      </c>
      <c r="F662" s="2993">
        <f t="shared" ref="F662:F663" si="130">E662/C662</f>
        <v>30000.000000000004</v>
      </c>
    </row>
    <row r="663" spans="1:6" s="2993" customFormat="1">
      <c r="A663" s="3204"/>
      <c r="B663" s="2991" t="s">
        <v>3891</v>
      </c>
      <c r="C663" s="2996">
        <v>84.08</v>
      </c>
      <c r="D663" s="2993" t="s">
        <v>3241</v>
      </c>
      <c r="E663" s="2996">
        <v>2522400</v>
      </c>
      <c r="F663" s="2993">
        <f t="shared" si="130"/>
        <v>30000</v>
      </c>
    </row>
    <row r="664" spans="1:6" s="2993" customFormat="1">
      <c r="A664" s="3204"/>
      <c r="B664" s="2991" t="s">
        <v>3892</v>
      </c>
      <c r="C664" s="2994">
        <v>45.51</v>
      </c>
      <c r="D664" s="2993" t="s">
        <v>3235</v>
      </c>
      <c r="E664" s="3002">
        <v>420000</v>
      </c>
    </row>
    <row r="665" spans="1:6" s="2993" customFormat="1">
      <c r="A665" s="3204"/>
      <c r="B665" s="2991" t="s">
        <v>3893</v>
      </c>
      <c r="C665" s="2994">
        <v>45.51</v>
      </c>
      <c r="D665" s="2993" t="s">
        <v>3235</v>
      </c>
      <c r="E665" s="3002">
        <v>420000</v>
      </c>
    </row>
    <row r="666" spans="1:6" s="2993" customFormat="1">
      <c r="A666" s="3204">
        <v>135</v>
      </c>
      <c r="B666" s="2991" t="s">
        <v>3894</v>
      </c>
      <c r="C666" s="2994">
        <v>134.34</v>
      </c>
      <c r="D666" s="2993" t="s">
        <v>3238</v>
      </c>
      <c r="E666" s="3002">
        <v>8531665</v>
      </c>
    </row>
    <row r="667" spans="1:6" s="2993" customFormat="1" ht="24">
      <c r="A667" s="3204"/>
      <c r="B667" s="2991" t="s">
        <v>3895</v>
      </c>
      <c r="C667" s="2994">
        <v>84.39</v>
      </c>
      <c r="D667" s="2993" t="s">
        <v>4487</v>
      </c>
      <c r="E667" s="3002">
        <v>2531700</v>
      </c>
      <c r="F667" s="2993">
        <f t="shared" ref="F667:F668" si="131">E667/C667</f>
        <v>30000</v>
      </c>
    </row>
    <row r="668" spans="1:6" s="2993" customFormat="1">
      <c r="A668" s="3204"/>
      <c r="B668" s="2991" t="s">
        <v>3896</v>
      </c>
      <c r="C668" s="2994">
        <v>83.46</v>
      </c>
      <c r="D668" s="2993" t="s">
        <v>3241</v>
      </c>
      <c r="E668" s="3002">
        <v>2503800</v>
      </c>
      <c r="F668" s="2993">
        <f t="shared" si="131"/>
        <v>30000.000000000004</v>
      </c>
    </row>
    <row r="669" spans="1:6" s="2993" customFormat="1">
      <c r="A669" s="3204"/>
      <c r="B669" s="2991" t="s">
        <v>3897</v>
      </c>
      <c r="C669" s="2994">
        <v>45.51</v>
      </c>
      <c r="D669" s="2993" t="s">
        <v>3235</v>
      </c>
      <c r="E669" s="3002">
        <v>420000</v>
      </c>
    </row>
    <row r="670" spans="1:6" s="2993" customFormat="1">
      <c r="A670" s="3204"/>
      <c r="B670" s="2991" t="s">
        <v>3898</v>
      </c>
      <c r="C670" s="2994">
        <v>45.51</v>
      </c>
      <c r="D670" s="2993" t="s">
        <v>3235</v>
      </c>
      <c r="E670" s="3002">
        <v>420000</v>
      </c>
    </row>
    <row r="671" spans="1:6" s="2993" customFormat="1">
      <c r="A671" s="3204">
        <v>136</v>
      </c>
      <c r="B671" s="2991" t="s">
        <v>3899</v>
      </c>
      <c r="C671" s="2996">
        <v>134.34</v>
      </c>
      <c r="D671" s="2993" t="s">
        <v>3238</v>
      </c>
      <c r="E671" s="2996">
        <v>7907678</v>
      </c>
    </row>
    <row r="672" spans="1:6" s="2993" customFormat="1" ht="24">
      <c r="A672" s="3204"/>
      <c r="B672" s="2991" t="s">
        <v>3900</v>
      </c>
      <c r="C672" s="2996">
        <v>84.53</v>
      </c>
      <c r="D672" s="2993" t="s">
        <v>4487</v>
      </c>
      <c r="E672" s="2996">
        <v>2535900</v>
      </c>
      <c r="F672" s="2993">
        <f t="shared" ref="F672:F673" si="132">E672/C672</f>
        <v>30000</v>
      </c>
    </row>
    <row r="673" spans="1:6" s="2993" customFormat="1">
      <c r="A673" s="3204"/>
      <c r="B673" s="2991" t="s">
        <v>3901</v>
      </c>
      <c r="C673" s="2996">
        <v>84.18</v>
      </c>
      <c r="D673" s="2993" t="s">
        <v>3241</v>
      </c>
      <c r="E673" s="2996">
        <v>2525400</v>
      </c>
      <c r="F673" s="2993">
        <f t="shared" si="132"/>
        <v>29999.999999999996</v>
      </c>
    </row>
    <row r="674" spans="1:6" s="2993" customFormat="1">
      <c r="A674" s="3204"/>
      <c r="B674" s="2991" t="s">
        <v>3902</v>
      </c>
      <c r="C674" s="2994">
        <v>45.51</v>
      </c>
      <c r="D674" s="2993" t="s">
        <v>3235</v>
      </c>
      <c r="E674" s="3002">
        <v>420000</v>
      </c>
    </row>
    <row r="675" spans="1:6" s="2993" customFormat="1">
      <c r="A675" s="3204"/>
      <c r="B675" s="2991" t="s">
        <v>3903</v>
      </c>
      <c r="C675" s="2994">
        <v>45.51</v>
      </c>
      <c r="D675" s="2993" t="s">
        <v>3235</v>
      </c>
      <c r="E675" s="3002">
        <v>420000</v>
      </c>
    </row>
    <row r="676" spans="1:6" s="2993" customFormat="1">
      <c r="A676" s="3204">
        <v>137</v>
      </c>
      <c r="B676" s="2991" t="s">
        <v>3904</v>
      </c>
      <c r="C676" s="2996">
        <v>134.54</v>
      </c>
      <c r="D676" s="2993" t="s">
        <v>3238</v>
      </c>
      <c r="E676" s="2996">
        <v>8038511</v>
      </c>
    </row>
    <row r="677" spans="1:6" s="2993" customFormat="1" ht="24">
      <c r="A677" s="3204"/>
      <c r="B677" s="2991" t="s">
        <v>3905</v>
      </c>
      <c r="C677" s="2996">
        <v>84.8</v>
      </c>
      <c r="D677" s="2993" t="s">
        <v>4487</v>
      </c>
      <c r="E677" s="2996">
        <v>2544000</v>
      </c>
      <c r="F677" s="2993">
        <f t="shared" ref="F677:F678" si="133">E677/C677</f>
        <v>30000</v>
      </c>
    </row>
    <row r="678" spans="1:6" s="2993" customFormat="1">
      <c r="A678" s="3204"/>
      <c r="B678" s="2991" t="s">
        <v>3906</v>
      </c>
      <c r="C678" s="2996">
        <v>84.18</v>
      </c>
      <c r="D678" s="2993" t="s">
        <v>3241</v>
      </c>
      <c r="E678" s="2996">
        <v>2525400</v>
      </c>
      <c r="F678" s="2993">
        <f t="shared" si="133"/>
        <v>29999.999999999996</v>
      </c>
    </row>
    <row r="679" spans="1:6" s="2993" customFormat="1">
      <c r="A679" s="3204"/>
      <c r="B679" s="2991" t="s">
        <v>3907</v>
      </c>
      <c r="C679" s="2994">
        <v>45.51</v>
      </c>
      <c r="D679" s="2993" t="s">
        <v>3235</v>
      </c>
      <c r="E679" s="3002">
        <v>420000</v>
      </c>
    </row>
    <row r="680" spans="1:6" s="2993" customFormat="1">
      <c r="A680" s="3204"/>
      <c r="B680" s="2991" t="s">
        <v>3908</v>
      </c>
      <c r="C680" s="2994">
        <v>45.51</v>
      </c>
      <c r="D680" s="2993" t="s">
        <v>3235</v>
      </c>
      <c r="E680" s="3002">
        <v>420000</v>
      </c>
    </row>
    <row r="681" spans="1:6" s="2993" customFormat="1">
      <c r="A681" s="3204">
        <v>138</v>
      </c>
      <c r="B681" s="2991" t="s">
        <v>3909</v>
      </c>
      <c r="C681" s="2994">
        <v>134.29</v>
      </c>
      <c r="D681" s="2993" t="s">
        <v>3238</v>
      </c>
      <c r="E681" s="3002">
        <v>7706916</v>
      </c>
    </row>
    <row r="682" spans="1:6" s="2993" customFormat="1" ht="24">
      <c r="A682" s="3204"/>
      <c r="B682" s="2991" t="s">
        <v>3910</v>
      </c>
      <c r="C682" s="2994">
        <v>84.51</v>
      </c>
      <c r="D682" s="2993" t="s">
        <v>4487</v>
      </c>
      <c r="E682" s="3002">
        <v>2535300</v>
      </c>
      <c r="F682" s="2993">
        <f t="shared" ref="F682:F683" si="134">E682/C682</f>
        <v>30000</v>
      </c>
    </row>
    <row r="683" spans="1:6" s="2993" customFormat="1">
      <c r="A683" s="3204"/>
      <c r="B683" s="2991" t="s">
        <v>3911</v>
      </c>
      <c r="C683" s="2994">
        <v>84.18</v>
      </c>
      <c r="D683" s="2993" t="s">
        <v>3241</v>
      </c>
      <c r="E683" s="3002">
        <f>30000*C683</f>
        <v>2525400</v>
      </c>
      <c r="F683" s="2993">
        <f t="shared" si="134"/>
        <v>29999.999999999996</v>
      </c>
    </row>
    <row r="684" spans="1:6" s="2993" customFormat="1">
      <c r="A684" s="3204"/>
      <c r="B684" s="2991" t="s">
        <v>3912</v>
      </c>
      <c r="C684" s="2994">
        <v>45.51</v>
      </c>
      <c r="D684" s="2993" t="s">
        <v>3235</v>
      </c>
      <c r="E684" s="3002">
        <v>420000</v>
      </c>
    </row>
    <row r="685" spans="1:6" s="2993" customFormat="1">
      <c r="A685" s="3204"/>
      <c r="B685" s="2991" t="s">
        <v>3913</v>
      </c>
      <c r="C685" s="2994">
        <v>45.51</v>
      </c>
      <c r="D685" s="2993" t="s">
        <v>3235</v>
      </c>
      <c r="E685" s="3002">
        <v>420000</v>
      </c>
    </row>
    <row r="686" spans="1:6" s="2993" customFormat="1">
      <c r="A686" s="3204">
        <v>139</v>
      </c>
      <c r="B686" s="2991" t="s">
        <v>3914</v>
      </c>
      <c r="C686" s="2994">
        <v>134.49</v>
      </c>
      <c r="D686" s="2993" t="s">
        <v>3238</v>
      </c>
      <c r="E686" s="3002">
        <v>7837459</v>
      </c>
    </row>
    <row r="687" spans="1:6" s="2993" customFormat="1" ht="24">
      <c r="A687" s="3204"/>
      <c r="B687" s="2991" t="s">
        <v>3915</v>
      </c>
      <c r="C687" s="2994">
        <v>84.78</v>
      </c>
      <c r="D687" s="2993" t="s">
        <v>4487</v>
      </c>
      <c r="E687" s="3002">
        <v>2543400</v>
      </c>
      <c r="F687" s="2993">
        <f t="shared" ref="F687:F688" si="135">E687/C687</f>
        <v>30000</v>
      </c>
    </row>
    <row r="688" spans="1:6" s="2993" customFormat="1">
      <c r="A688" s="3204"/>
      <c r="B688" s="2991" t="s">
        <v>3916</v>
      </c>
      <c r="C688" s="2994">
        <v>84.18</v>
      </c>
      <c r="D688" s="2993" t="s">
        <v>3241</v>
      </c>
      <c r="E688" s="3002">
        <v>2525400</v>
      </c>
      <c r="F688" s="2993">
        <f t="shared" si="135"/>
        <v>29999.999999999996</v>
      </c>
    </row>
    <row r="689" spans="1:6" s="2993" customFormat="1">
      <c r="A689" s="3204"/>
      <c r="B689" s="2991" t="s">
        <v>3917</v>
      </c>
      <c r="C689" s="2994">
        <v>45.51</v>
      </c>
      <c r="D689" s="2993" t="s">
        <v>3235</v>
      </c>
      <c r="E689" s="3002">
        <v>420000</v>
      </c>
    </row>
    <row r="690" spans="1:6" s="2993" customFormat="1">
      <c r="A690" s="3204"/>
      <c r="B690" s="2991" t="s">
        <v>3918</v>
      </c>
      <c r="C690" s="2994">
        <v>45.51</v>
      </c>
      <c r="D690" s="2993" t="s">
        <v>3235</v>
      </c>
      <c r="E690" s="3002">
        <v>420000</v>
      </c>
    </row>
    <row r="691" spans="1:6" s="2993" customFormat="1">
      <c r="A691" s="3204">
        <v>140</v>
      </c>
      <c r="B691" s="2991" t="s">
        <v>3919</v>
      </c>
      <c r="C691" s="2996">
        <v>134.11000000000001</v>
      </c>
      <c r="D691" s="2993" t="s">
        <v>3238</v>
      </c>
      <c r="E691" s="2996">
        <v>8517058</v>
      </c>
    </row>
    <row r="692" spans="1:6" s="2993" customFormat="1" ht="24">
      <c r="A692" s="3204"/>
      <c r="B692" s="2991" t="s">
        <v>3920</v>
      </c>
      <c r="C692" s="2996">
        <v>84.23</v>
      </c>
      <c r="D692" s="2993" t="s">
        <v>4487</v>
      </c>
      <c r="E692" s="2996">
        <v>2526900</v>
      </c>
      <c r="F692" s="2993">
        <f t="shared" ref="F692:F693" si="136">E692/C692</f>
        <v>30000</v>
      </c>
    </row>
    <row r="693" spans="1:6" s="2993" customFormat="1">
      <c r="A693" s="3204"/>
      <c r="B693" s="2991" t="s">
        <v>3921</v>
      </c>
      <c r="C693" s="2996">
        <v>83.38</v>
      </c>
      <c r="D693" s="2993" t="s">
        <v>3241</v>
      </c>
      <c r="E693" s="2996">
        <v>2501400</v>
      </c>
      <c r="F693" s="2993">
        <f t="shared" si="136"/>
        <v>30000</v>
      </c>
    </row>
    <row r="694" spans="1:6" s="2993" customFormat="1">
      <c r="A694" s="3204"/>
      <c r="B694" s="2991" t="s">
        <v>3922</v>
      </c>
      <c r="C694" s="2994">
        <v>45.51</v>
      </c>
      <c r="D694" s="2993" t="s">
        <v>3235</v>
      </c>
      <c r="E694" s="2996">
        <v>420000</v>
      </c>
    </row>
    <row r="695" spans="1:6" s="2993" customFormat="1">
      <c r="A695" s="3204"/>
      <c r="B695" s="2991" t="s">
        <v>3923</v>
      </c>
      <c r="C695" s="2994">
        <v>45.51</v>
      </c>
      <c r="D695" s="2993" t="s">
        <v>3235</v>
      </c>
      <c r="E695" s="2996">
        <v>420000</v>
      </c>
    </row>
    <row r="696" spans="1:6" s="2993" customFormat="1">
      <c r="A696" s="3204">
        <v>141</v>
      </c>
      <c r="B696" s="2991" t="s">
        <v>3924</v>
      </c>
      <c r="C696" s="2996">
        <v>134.11000000000001</v>
      </c>
      <c r="D696" s="2993" t="s">
        <v>3238</v>
      </c>
      <c r="E696" s="2996">
        <v>7696563</v>
      </c>
    </row>
    <row r="697" spans="1:6" s="2993" customFormat="1" ht="24">
      <c r="A697" s="3204"/>
      <c r="B697" s="2991" t="s">
        <v>3920</v>
      </c>
      <c r="C697" s="2996">
        <v>84.38</v>
      </c>
      <c r="D697" s="2993" t="s">
        <v>4487</v>
      </c>
      <c r="E697" s="2996">
        <v>2531400</v>
      </c>
      <c r="F697" s="2993">
        <f t="shared" ref="F697:F698" si="137">E697/C697</f>
        <v>30000</v>
      </c>
    </row>
    <row r="698" spans="1:6" s="2993" customFormat="1">
      <c r="A698" s="3204"/>
      <c r="B698" s="2991" t="s">
        <v>3925</v>
      </c>
      <c r="C698" s="2996">
        <v>84.1</v>
      </c>
      <c r="D698" s="2993" t="s">
        <v>3241</v>
      </c>
      <c r="E698" s="2996">
        <v>2523000</v>
      </c>
      <c r="F698" s="2993">
        <f t="shared" si="137"/>
        <v>30000.000000000004</v>
      </c>
    </row>
    <row r="699" spans="1:6" s="2993" customFormat="1">
      <c r="A699" s="3204"/>
      <c r="B699" s="2991" t="s">
        <v>3926</v>
      </c>
      <c r="C699" s="2994">
        <v>45.51</v>
      </c>
      <c r="D699" s="2993" t="s">
        <v>3235</v>
      </c>
      <c r="E699" s="2996">
        <v>420000</v>
      </c>
    </row>
    <row r="700" spans="1:6" s="2993" customFormat="1">
      <c r="A700" s="3204"/>
      <c r="B700" s="2991" t="s">
        <v>3927</v>
      </c>
      <c r="C700" s="2994">
        <v>45.51</v>
      </c>
      <c r="D700" s="2993" t="s">
        <v>3235</v>
      </c>
      <c r="E700" s="2996">
        <v>420000</v>
      </c>
    </row>
    <row r="701" spans="1:6" s="2993" customFormat="1">
      <c r="A701" s="3204">
        <v>142</v>
      </c>
      <c r="B701" s="2991" t="s">
        <v>3928</v>
      </c>
      <c r="C701" s="2996">
        <v>134.11000000000001</v>
      </c>
      <c r="D701" s="2993" t="s">
        <v>3238</v>
      </c>
      <c r="E701" s="2996">
        <v>7696563</v>
      </c>
    </row>
    <row r="702" spans="1:6" s="2993" customFormat="1" ht="24">
      <c r="A702" s="3204"/>
      <c r="B702" s="2991" t="s">
        <v>3929</v>
      </c>
      <c r="C702" s="2996">
        <v>84.38</v>
      </c>
      <c r="D702" s="2993" t="s">
        <v>4487</v>
      </c>
      <c r="E702" s="2996">
        <v>2531400</v>
      </c>
      <c r="F702" s="2993">
        <f t="shared" ref="F702:F703" si="138">E702/C702</f>
        <v>30000</v>
      </c>
    </row>
    <row r="703" spans="1:6" s="2993" customFormat="1">
      <c r="A703" s="3204"/>
      <c r="B703" s="2991" t="s">
        <v>3930</v>
      </c>
      <c r="C703" s="2996">
        <v>84.1</v>
      </c>
      <c r="D703" s="2993" t="s">
        <v>3241</v>
      </c>
      <c r="E703" s="2996">
        <v>2523000</v>
      </c>
      <c r="F703" s="2993">
        <f t="shared" si="138"/>
        <v>30000.000000000004</v>
      </c>
    </row>
    <row r="704" spans="1:6" s="2993" customFormat="1">
      <c r="A704" s="3204"/>
      <c r="B704" s="2991" t="s">
        <v>3931</v>
      </c>
      <c r="C704" s="2994">
        <v>45.51</v>
      </c>
      <c r="D704" s="2993" t="s">
        <v>3235</v>
      </c>
      <c r="E704" s="2996">
        <v>420000</v>
      </c>
    </row>
    <row r="705" spans="1:6" s="2993" customFormat="1">
      <c r="A705" s="3204"/>
      <c r="B705" s="2991" t="s">
        <v>3932</v>
      </c>
      <c r="C705" s="2994">
        <v>45.51</v>
      </c>
      <c r="D705" s="2993" t="s">
        <v>3235</v>
      </c>
      <c r="E705" s="2996">
        <v>420000</v>
      </c>
    </row>
    <row r="706" spans="1:6" s="2993" customFormat="1">
      <c r="A706" s="3204">
        <v>143</v>
      </c>
      <c r="B706" s="2991" t="s">
        <v>3933</v>
      </c>
      <c r="C706" s="2996">
        <v>134.30000000000001</v>
      </c>
      <c r="D706" s="2993" t="s">
        <v>3238</v>
      </c>
      <c r="E706" s="2996">
        <v>7826386</v>
      </c>
    </row>
    <row r="707" spans="1:6" s="2993" customFormat="1" ht="24">
      <c r="A707" s="3204"/>
      <c r="B707" s="2991" t="s">
        <v>3934</v>
      </c>
      <c r="C707" s="2996">
        <v>84.64</v>
      </c>
      <c r="D707" s="2993" t="s">
        <v>4487</v>
      </c>
      <c r="E707" s="2996">
        <v>2539200</v>
      </c>
      <c r="F707" s="2993">
        <f t="shared" ref="F707:F708" si="139">E707/C707</f>
        <v>30000</v>
      </c>
    </row>
    <row r="708" spans="1:6" s="2993" customFormat="1">
      <c r="A708" s="3204"/>
      <c r="B708" s="2991" t="s">
        <v>3935</v>
      </c>
      <c r="C708" s="2996">
        <v>84.1</v>
      </c>
      <c r="D708" s="2993" t="s">
        <v>3241</v>
      </c>
      <c r="E708" s="2996">
        <v>2523000</v>
      </c>
      <c r="F708" s="2993">
        <f t="shared" si="139"/>
        <v>30000.000000000004</v>
      </c>
    </row>
    <row r="709" spans="1:6" s="2993" customFormat="1">
      <c r="A709" s="3204"/>
      <c r="B709" s="2991" t="s">
        <v>3936</v>
      </c>
      <c r="C709" s="2994">
        <v>45.51</v>
      </c>
      <c r="D709" s="2993" t="s">
        <v>3235</v>
      </c>
      <c r="E709" s="2996">
        <v>420000</v>
      </c>
    </row>
    <row r="710" spans="1:6" s="2993" customFormat="1">
      <c r="A710" s="3204"/>
      <c r="B710" s="2991" t="s">
        <v>3937</v>
      </c>
      <c r="C710" s="2994">
        <v>45.51</v>
      </c>
      <c r="D710" s="2993" t="s">
        <v>3235</v>
      </c>
      <c r="E710" s="2996">
        <v>420000</v>
      </c>
    </row>
    <row r="711" spans="1:6" s="2993" customFormat="1">
      <c r="A711" s="3204">
        <v>144</v>
      </c>
      <c r="B711" s="2991" t="s">
        <v>3938</v>
      </c>
      <c r="C711" s="2996">
        <v>134.11000000000001</v>
      </c>
      <c r="D711" s="2993" t="s">
        <v>3238</v>
      </c>
      <c r="E711" s="2996">
        <v>7999892</v>
      </c>
    </row>
    <row r="712" spans="1:6" s="2993" customFormat="1" ht="24">
      <c r="A712" s="3204"/>
      <c r="B712" s="2991" t="s">
        <v>3939</v>
      </c>
      <c r="C712" s="2996">
        <v>84.38</v>
      </c>
      <c r="D712" s="2993" t="s">
        <v>4487</v>
      </c>
      <c r="E712" s="2996">
        <v>2531400</v>
      </c>
      <c r="F712" s="2993">
        <f t="shared" ref="F712:F713" si="140">E712/C712</f>
        <v>30000</v>
      </c>
    </row>
    <row r="713" spans="1:6" s="2993" customFormat="1">
      <c r="A713" s="3204"/>
      <c r="B713" s="2991" t="s">
        <v>3940</v>
      </c>
      <c r="C713" s="2996">
        <v>84.1</v>
      </c>
      <c r="D713" s="2993" t="s">
        <v>3241</v>
      </c>
      <c r="E713" s="2996">
        <v>2523000</v>
      </c>
      <c r="F713" s="2993">
        <f t="shared" si="140"/>
        <v>30000.000000000004</v>
      </c>
    </row>
    <row r="714" spans="1:6" s="2993" customFormat="1">
      <c r="A714" s="3204"/>
      <c r="B714" s="2991" t="s">
        <v>3941</v>
      </c>
      <c r="C714" s="2994">
        <v>45.51</v>
      </c>
      <c r="D714" s="2993" t="s">
        <v>3235</v>
      </c>
      <c r="E714" s="3002">
        <v>420000</v>
      </c>
    </row>
    <row r="715" spans="1:6" s="2993" customFormat="1">
      <c r="A715" s="3204"/>
      <c r="B715" s="2991" t="s">
        <v>3942</v>
      </c>
      <c r="C715" s="2994">
        <v>45.51</v>
      </c>
      <c r="D715" s="2993" t="s">
        <v>3235</v>
      </c>
      <c r="E715" s="3002">
        <v>420000</v>
      </c>
    </row>
    <row r="716" spans="1:6" s="2993" customFormat="1">
      <c r="A716" s="3204">
        <v>145</v>
      </c>
      <c r="B716" s="2991" t="s">
        <v>3943</v>
      </c>
      <c r="C716" s="2996">
        <v>134.11000000000001</v>
      </c>
      <c r="D716" s="2993" t="s">
        <v>3238</v>
      </c>
      <c r="E716" s="2996">
        <v>7999892</v>
      </c>
    </row>
    <row r="717" spans="1:6" s="2993" customFormat="1" ht="24">
      <c r="A717" s="3204"/>
      <c r="B717" s="2991" t="s">
        <v>3944</v>
      </c>
      <c r="C717" s="2996">
        <v>84.38</v>
      </c>
      <c r="D717" s="2993" t="s">
        <v>4487</v>
      </c>
      <c r="E717" s="2996">
        <v>2531400</v>
      </c>
      <c r="F717" s="2993">
        <f t="shared" ref="F717:F718" si="141">E717/C717</f>
        <v>30000</v>
      </c>
    </row>
    <row r="718" spans="1:6" s="2993" customFormat="1">
      <c r="A718" s="3204"/>
      <c r="B718" s="2991" t="s">
        <v>3945</v>
      </c>
      <c r="C718" s="2996">
        <v>84.1</v>
      </c>
      <c r="D718" s="2993" t="s">
        <v>3241</v>
      </c>
      <c r="E718" s="2996">
        <v>2523000</v>
      </c>
      <c r="F718" s="2993">
        <f t="shared" si="141"/>
        <v>30000.000000000004</v>
      </c>
    </row>
    <row r="719" spans="1:6" s="2993" customFormat="1">
      <c r="A719" s="3204"/>
      <c r="B719" s="2991" t="s">
        <v>3946</v>
      </c>
      <c r="C719" s="2994">
        <v>45.51</v>
      </c>
      <c r="D719" s="2993" t="s">
        <v>3235</v>
      </c>
      <c r="E719" s="3002">
        <v>420000</v>
      </c>
    </row>
    <row r="720" spans="1:6" s="2993" customFormat="1">
      <c r="A720" s="3204"/>
      <c r="B720" s="2991" t="s">
        <v>3947</v>
      </c>
      <c r="C720" s="2994">
        <v>45.51</v>
      </c>
      <c r="D720" s="2993" t="s">
        <v>3235</v>
      </c>
      <c r="E720" s="3002">
        <v>420000</v>
      </c>
    </row>
    <row r="721" spans="1:6" s="2993" customFormat="1">
      <c r="A721" s="3204">
        <v>146</v>
      </c>
      <c r="B721" s="2991" t="s">
        <v>3948</v>
      </c>
      <c r="C721" s="2996">
        <v>138.52000000000001</v>
      </c>
      <c r="D721" s="2993" t="s">
        <v>3238</v>
      </c>
      <c r="E721" s="2996">
        <v>8797128</v>
      </c>
    </row>
    <row r="722" spans="1:6" s="2993" customFormat="1" ht="24">
      <c r="A722" s="3204"/>
      <c r="B722" s="2991" t="s">
        <v>3949</v>
      </c>
      <c r="C722" s="2996">
        <v>86.56</v>
      </c>
      <c r="D722" s="2993" t="s">
        <v>4487</v>
      </c>
      <c r="E722" s="2996">
        <v>2596800</v>
      </c>
      <c r="F722" s="2993">
        <f t="shared" ref="F722:F723" si="142">E722/C722</f>
        <v>30000</v>
      </c>
    </row>
    <row r="723" spans="1:6" s="2993" customFormat="1">
      <c r="A723" s="3204"/>
      <c r="B723" s="2991" t="s">
        <v>3950</v>
      </c>
      <c r="C723" s="2996">
        <v>85.07</v>
      </c>
      <c r="D723" s="2993" t="s">
        <v>3241</v>
      </c>
      <c r="E723" s="2996">
        <v>2552100</v>
      </c>
      <c r="F723" s="2993">
        <f t="shared" si="142"/>
        <v>30000.000000000004</v>
      </c>
    </row>
    <row r="724" spans="1:6" s="2993" customFormat="1">
      <c r="A724" s="3204"/>
      <c r="B724" s="2991" t="s">
        <v>3951</v>
      </c>
      <c r="C724" s="2994">
        <v>45.51</v>
      </c>
      <c r="D724" s="2993" t="s">
        <v>3235</v>
      </c>
      <c r="E724" s="3002">
        <v>420000</v>
      </c>
    </row>
    <row r="725" spans="1:6" s="2993" customFormat="1">
      <c r="A725" s="3204"/>
      <c r="B725" s="2991" t="s">
        <v>3952</v>
      </c>
      <c r="C725" s="2994">
        <v>45.51</v>
      </c>
      <c r="D725" s="2993" t="s">
        <v>3235</v>
      </c>
      <c r="E725" s="3002">
        <v>420000</v>
      </c>
    </row>
    <row r="726" spans="1:6" s="2993" customFormat="1">
      <c r="A726" s="3204">
        <v>147</v>
      </c>
      <c r="B726" s="2991" t="s">
        <v>3953</v>
      </c>
      <c r="C726" s="2996">
        <v>138.52000000000001</v>
      </c>
      <c r="D726" s="2993" t="s">
        <v>3238</v>
      </c>
      <c r="E726" s="2996">
        <v>8797128</v>
      </c>
    </row>
    <row r="727" spans="1:6" s="2993" customFormat="1" ht="24">
      <c r="A727" s="3204"/>
      <c r="B727" s="2991" t="s">
        <v>3954</v>
      </c>
      <c r="C727" s="2996">
        <v>86.56</v>
      </c>
      <c r="D727" s="2993" t="s">
        <v>4487</v>
      </c>
      <c r="E727" s="2996">
        <v>2596800</v>
      </c>
      <c r="F727" s="2993">
        <f t="shared" ref="F727:F728" si="143">E727/C727</f>
        <v>30000</v>
      </c>
    </row>
    <row r="728" spans="1:6" s="2993" customFormat="1">
      <c r="A728" s="3204"/>
      <c r="B728" s="2991" t="s">
        <v>3955</v>
      </c>
      <c r="C728" s="2996">
        <v>85.07</v>
      </c>
      <c r="D728" s="2993" t="s">
        <v>3241</v>
      </c>
      <c r="E728" s="2996">
        <v>2552100</v>
      </c>
      <c r="F728" s="2993">
        <f t="shared" si="143"/>
        <v>30000.000000000004</v>
      </c>
    </row>
    <row r="729" spans="1:6" s="2993" customFormat="1">
      <c r="A729" s="3204"/>
      <c r="B729" s="2991" t="s">
        <v>3956</v>
      </c>
      <c r="C729" s="2994">
        <v>45.51</v>
      </c>
      <c r="D729" s="2993" t="s">
        <v>3235</v>
      </c>
      <c r="E729" s="3002">
        <v>420000</v>
      </c>
    </row>
    <row r="730" spans="1:6" s="2993" customFormat="1">
      <c r="A730" s="3204"/>
      <c r="B730" s="2991" t="s">
        <v>3957</v>
      </c>
      <c r="C730" s="2994">
        <v>45.51</v>
      </c>
      <c r="D730" s="2993" t="s">
        <v>3235</v>
      </c>
      <c r="E730" s="3002">
        <v>420000</v>
      </c>
    </row>
    <row r="731" spans="1:6" s="2993" customFormat="1">
      <c r="A731" s="3204">
        <v>148</v>
      </c>
      <c r="B731" s="2991" t="s">
        <v>3958</v>
      </c>
      <c r="C731" s="2994">
        <v>134.29</v>
      </c>
      <c r="D731" s="2993" t="s">
        <v>3238</v>
      </c>
      <c r="E731" s="3002">
        <v>8324774</v>
      </c>
    </row>
    <row r="732" spans="1:6" s="2993" customFormat="1" ht="24">
      <c r="A732" s="3204"/>
      <c r="B732" s="2991" t="s">
        <v>3959</v>
      </c>
      <c r="C732" s="2994">
        <v>84.35</v>
      </c>
      <c r="D732" s="2993" t="s">
        <v>4487</v>
      </c>
      <c r="E732" s="3002">
        <v>2530500</v>
      </c>
      <c r="F732" s="2993">
        <f t="shared" ref="F732:F733" si="144">E732/C732</f>
        <v>30000.000000000004</v>
      </c>
    </row>
    <row r="733" spans="1:6" s="2993" customFormat="1">
      <c r="A733" s="3204"/>
      <c r="B733" s="2991" t="s">
        <v>3960</v>
      </c>
      <c r="C733" s="2994">
        <v>83.45</v>
      </c>
      <c r="D733" s="2993" t="s">
        <v>3241</v>
      </c>
      <c r="E733" s="3002">
        <v>2503500</v>
      </c>
      <c r="F733" s="2993">
        <f t="shared" si="144"/>
        <v>30000</v>
      </c>
    </row>
    <row r="734" spans="1:6" s="2993" customFormat="1">
      <c r="A734" s="3204"/>
      <c r="B734" s="2991" t="s">
        <v>3961</v>
      </c>
      <c r="C734" s="2994">
        <v>45.51</v>
      </c>
      <c r="D734" s="2993" t="s">
        <v>3235</v>
      </c>
      <c r="E734" s="3002">
        <v>420000</v>
      </c>
    </row>
    <row r="735" spans="1:6" s="2993" customFormat="1">
      <c r="A735" s="3204"/>
      <c r="B735" s="2991" t="s">
        <v>3962</v>
      </c>
      <c r="C735" s="2994">
        <v>45.51</v>
      </c>
      <c r="D735" s="2993" t="s">
        <v>3235</v>
      </c>
      <c r="E735" s="3002">
        <v>420000</v>
      </c>
    </row>
    <row r="736" spans="1:6" s="2993" customFormat="1">
      <c r="A736" s="3204">
        <v>149</v>
      </c>
      <c r="B736" s="2991" t="s">
        <v>3963</v>
      </c>
      <c r="C736" s="2994">
        <v>134.28</v>
      </c>
      <c r="D736" s="2993" t="s">
        <v>3238</v>
      </c>
      <c r="E736" s="3002">
        <v>7531087</v>
      </c>
    </row>
    <row r="737" spans="1:6" s="2993" customFormat="1" ht="24">
      <c r="A737" s="3204"/>
      <c r="B737" s="2991" t="s">
        <v>3964</v>
      </c>
      <c r="C737" s="2994">
        <v>84.49</v>
      </c>
      <c r="D737" s="2993" t="s">
        <v>4487</v>
      </c>
      <c r="E737" s="3002">
        <v>2534700</v>
      </c>
      <c r="F737" s="2993">
        <f t="shared" ref="F737:F738" si="145">E737/C737</f>
        <v>30000</v>
      </c>
    </row>
    <row r="738" spans="1:6" s="2993" customFormat="1">
      <c r="A738" s="3204"/>
      <c r="B738" s="2991" t="s">
        <v>3965</v>
      </c>
      <c r="C738" s="2994">
        <v>84.17</v>
      </c>
      <c r="D738" s="2993" t="s">
        <v>3241</v>
      </c>
      <c r="E738" s="3002">
        <v>2525100</v>
      </c>
      <c r="F738" s="2993">
        <f t="shared" si="145"/>
        <v>30000</v>
      </c>
    </row>
    <row r="739" spans="1:6" s="2993" customFormat="1">
      <c r="A739" s="3204"/>
      <c r="B739" s="2991" t="s">
        <v>3966</v>
      </c>
      <c r="C739" s="2994">
        <v>45.51</v>
      </c>
      <c r="D739" s="2993" t="s">
        <v>3235</v>
      </c>
      <c r="E739" s="3002">
        <v>420000</v>
      </c>
    </row>
    <row r="740" spans="1:6" s="2993" customFormat="1">
      <c r="A740" s="3204"/>
      <c r="B740" s="2991" t="s">
        <v>3967</v>
      </c>
      <c r="C740" s="2994">
        <v>45.51</v>
      </c>
      <c r="D740" s="2993" t="s">
        <v>3235</v>
      </c>
      <c r="E740" s="3002">
        <v>420000</v>
      </c>
    </row>
    <row r="741" spans="1:6" s="2993" customFormat="1">
      <c r="A741" s="3204">
        <v>150</v>
      </c>
      <c r="B741" s="2991" t="s">
        <v>3968</v>
      </c>
      <c r="C741" s="2994">
        <v>134.47</v>
      </c>
      <c r="D741" s="2993" t="s">
        <v>3238</v>
      </c>
      <c r="E741" s="3002">
        <v>7925703</v>
      </c>
    </row>
    <row r="742" spans="1:6" s="2993" customFormat="1" ht="24">
      <c r="A742" s="3204"/>
      <c r="B742" s="2991" t="s">
        <v>3969</v>
      </c>
      <c r="C742" s="2994">
        <v>84.77</v>
      </c>
      <c r="D742" s="2993" t="s">
        <v>4487</v>
      </c>
      <c r="E742" s="3002">
        <v>2543100</v>
      </c>
      <c r="F742" s="2993">
        <f t="shared" ref="F742:F743" si="146">E742/C742</f>
        <v>30000</v>
      </c>
    </row>
    <row r="743" spans="1:6" s="2993" customFormat="1">
      <c r="A743" s="3204"/>
      <c r="B743" s="2991" t="s">
        <v>3970</v>
      </c>
      <c r="C743" s="2994">
        <v>84.17</v>
      </c>
      <c r="D743" s="2993" t="s">
        <v>3241</v>
      </c>
      <c r="E743" s="3002">
        <v>2525100</v>
      </c>
      <c r="F743" s="2993">
        <f t="shared" si="146"/>
        <v>30000</v>
      </c>
    </row>
    <row r="744" spans="1:6" s="2993" customFormat="1">
      <c r="A744" s="3204"/>
      <c r="B744" s="2991" t="s">
        <v>3971</v>
      </c>
      <c r="C744" s="2994">
        <v>45.51</v>
      </c>
      <c r="D744" s="2993" t="s">
        <v>3235</v>
      </c>
      <c r="E744" s="3002">
        <v>420000</v>
      </c>
    </row>
    <row r="745" spans="1:6" s="2993" customFormat="1">
      <c r="A745" s="3204"/>
      <c r="B745" s="2991" t="s">
        <v>3972</v>
      </c>
      <c r="C745" s="2994">
        <v>45.51</v>
      </c>
      <c r="D745" s="2993" t="s">
        <v>3235</v>
      </c>
      <c r="E745" s="3002">
        <v>420000</v>
      </c>
    </row>
    <row r="746" spans="1:6" s="2993" customFormat="1">
      <c r="A746" s="3204">
        <v>151</v>
      </c>
      <c r="B746" s="2991" t="s">
        <v>3973</v>
      </c>
      <c r="C746" s="2994">
        <v>134.29</v>
      </c>
      <c r="D746" s="2993" t="s">
        <v>3238</v>
      </c>
      <c r="E746" s="3002">
        <v>8492545</v>
      </c>
    </row>
    <row r="747" spans="1:6" s="2993" customFormat="1" ht="24">
      <c r="A747" s="3204"/>
      <c r="B747" s="2991" t="s">
        <v>3974</v>
      </c>
      <c r="C747" s="2994">
        <v>84.35</v>
      </c>
      <c r="D747" s="2993" t="s">
        <v>4487</v>
      </c>
      <c r="E747" s="3002">
        <v>2530500</v>
      </c>
      <c r="F747" s="2993">
        <f t="shared" ref="F747:F748" si="147">E747/C747</f>
        <v>30000.000000000004</v>
      </c>
    </row>
    <row r="748" spans="1:6" s="2993" customFormat="1">
      <c r="A748" s="3204"/>
      <c r="B748" s="2991" t="s">
        <v>3975</v>
      </c>
      <c r="C748" s="2994">
        <v>83.45</v>
      </c>
      <c r="D748" s="2993" t="s">
        <v>3241</v>
      </c>
      <c r="E748" s="3002">
        <v>2503500</v>
      </c>
      <c r="F748" s="2993">
        <f t="shared" si="147"/>
        <v>30000</v>
      </c>
    </row>
    <row r="749" spans="1:6" s="2993" customFormat="1">
      <c r="A749" s="3204"/>
      <c r="B749" s="2991" t="s">
        <v>3976</v>
      </c>
      <c r="C749" s="2994">
        <v>45.51</v>
      </c>
      <c r="D749" s="2993" t="s">
        <v>3235</v>
      </c>
      <c r="E749" s="3002">
        <v>420000</v>
      </c>
    </row>
    <row r="750" spans="1:6" s="2993" customFormat="1">
      <c r="A750" s="3204"/>
      <c r="B750" s="2991" t="s">
        <v>3977</v>
      </c>
      <c r="C750" s="2994">
        <v>45.51</v>
      </c>
      <c r="D750" s="2993" t="s">
        <v>3235</v>
      </c>
      <c r="E750" s="3002">
        <v>420000</v>
      </c>
    </row>
    <row r="751" spans="1:6" s="2993" customFormat="1">
      <c r="A751" s="3204">
        <v>152</v>
      </c>
      <c r="B751" s="2991" t="s">
        <v>3978</v>
      </c>
      <c r="C751" s="2994">
        <v>134.28</v>
      </c>
      <c r="D751" s="2993" t="s">
        <v>3238</v>
      </c>
      <c r="E751" s="3002">
        <v>7699179</v>
      </c>
    </row>
    <row r="752" spans="1:6" s="2993" customFormat="1" ht="24">
      <c r="A752" s="3204"/>
      <c r="B752" s="2991" t="s">
        <v>3979</v>
      </c>
      <c r="C752" s="2994">
        <v>84.49</v>
      </c>
      <c r="D752" s="2993" t="s">
        <v>4487</v>
      </c>
      <c r="E752" s="3002">
        <v>2534700</v>
      </c>
      <c r="F752" s="2993">
        <f t="shared" ref="F752:F753" si="148">E752/C752</f>
        <v>30000</v>
      </c>
    </row>
    <row r="753" spans="1:6" s="2993" customFormat="1">
      <c r="A753" s="3204"/>
      <c r="B753" s="2991" t="s">
        <v>3980</v>
      </c>
      <c r="C753" s="2994">
        <v>84.17</v>
      </c>
      <c r="D753" s="2993" t="s">
        <v>3252</v>
      </c>
      <c r="E753" s="3002">
        <v>2525100</v>
      </c>
      <c r="F753" s="2993">
        <f t="shared" si="148"/>
        <v>30000</v>
      </c>
    </row>
    <row r="754" spans="1:6" s="2993" customFormat="1">
      <c r="A754" s="3204"/>
      <c r="B754" s="2991" t="s">
        <v>3981</v>
      </c>
      <c r="C754" s="2994">
        <v>45.51</v>
      </c>
      <c r="D754" s="2993" t="s">
        <v>3254</v>
      </c>
      <c r="E754" s="3002">
        <v>420000</v>
      </c>
    </row>
    <row r="755" spans="1:6" s="2993" customFormat="1">
      <c r="A755" s="3204"/>
      <c r="B755" s="2991" t="s">
        <v>3982</v>
      </c>
      <c r="C755" s="2994">
        <v>45.51</v>
      </c>
      <c r="D755" s="2993" t="s">
        <v>3254</v>
      </c>
      <c r="E755" s="3002">
        <v>420000</v>
      </c>
    </row>
    <row r="756" spans="1:6" s="2993" customFormat="1">
      <c r="A756" s="3204">
        <v>153</v>
      </c>
      <c r="B756" s="2991" t="s">
        <v>3983</v>
      </c>
      <c r="C756" s="2994">
        <v>134.47</v>
      </c>
      <c r="D756" s="2993" t="s">
        <v>3257</v>
      </c>
      <c r="E756" s="3002">
        <v>8094049</v>
      </c>
    </row>
    <row r="757" spans="1:6" s="2993" customFormat="1" ht="24">
      <c r="A757" s="3204"/>
      <c r="B757" s="2991" t="s">
        <v>3984</v>
      </c>
      <c r="C757" s="2994">
        <v>84.77</v>
      </c>
      <c r="D757" s="2993" t="s">
        <v>4487</v>
      </c>
      <c r="E757" s="3002">
        <v>2543100</v>
      </c>
      <c r="F757" s="2993">
        <f t="shared" ref="F757:F758" si="149">E757/C757</f>
        <v>30000</v>
      </c>
    </row>
    <row r="758" spans="1:6" s="2993" customFormat="1">
      <c r="A758" s="3204"/>
      <c r="B758" s="2991" t="s">
        <v>3985</v>
      </c>
      <c r="C758" s="2994">
        <v>84.17</v>
      </c>
      <c r="D758" s="2993" t="s">
        <v>3252</v>
      </c>
      <c r="E758" s="3002">
        <v>2525100</v>
      </c>
      <c r="F758" s="2993">
        <f t="shared" si="149"/>
        <v>30000</v>
      </c>
    </row>
    <row r="759" spans="1:6" s="2993" customFormat="1">
      <c r="A759" s="3204"/>
      <c r="B759" s="2991" t="s">
        <v>3986</v>
      </c>
      <c r="C759" s="2994">
        <v>45.51</v>
      </c>
      <c r="D759" s="2993" t="s">
        <v>3254</v>
      </c>
      <c r="E759" s="3002">
        <v>420000</v>
      </c>
    </row>
    <row r="760" spans="1:6" s="2993" customFormat="1">
      <c r="A760" s="3204"/>
      <c r="B760" s="2991" t="s">
        <v>3987</v>
      </c>
      <c r="C760" s="2994">
        <v>45.51</v>
      </c>
      <c r="D760" s="2993" t="s">
        <v>3254</v>
      </c>
      <c r="E760" s="3002">
        <v>420000</v>
      </c>
    </row>
    <row r="761" spans="1:6" s="2993" customFormat="1">
      <c r="A761" s="3204">
        <v>154</v>
      </c>
      <c r="B761" s="2991" t="s">
        <v>3988</v>
      </c>
      <c r="C761" s="2996">
        <v>134.11000000000001</v>
      </c>
      <c r="D761" s="2993" t="s">
        <v>3257</v>
      </c>
      <c r="E761" s="2996">
        <v>8517058</v>
      </c>
    </row>
    <row r="762" spans="1:6" s="2993" customFormat="1" ht="24">
      <c r="A762" s="3204"/>
      <c r="B762" s="2991" t="s">
        <v>3989</v>
      </c>
      <c r="C762" s="2996">
        <v>84.23</v>
      </c>
      <c r="D762" s="2993" t="s">
        <v>4487</v>
      </c>
      <c r="E762" s="2996">
        <v>2526900</v>
      </c>
      <c r="F762" s="2993">
        <f t="shared" ref="F762:F763" si="150">E762/C762</f>
        <v>30000</v>
      </c>
    </row>
    <row r="763" spans="1:6" s="2993" customFormat="1">
      <c r="A763" s="3204"/>
      <c r="B763" s="2991" t="s">
        <v>3990</v>
      </c>
      <c r="C763" s="2996">
        <v>83.38</v>
      </c>
      <c r="D763" s="2993" t="s">
        <v>3252</v>
      </c>
      <c r="E763" s="2996">
        <v>2501400</v>
      </c>
      <c r="F763" s="2993">
        <f t="shared" si="150"/>
        <v>30000</v>
      </c>
    </row>
    <row r="764" spans="1:6" s="2993" customFormat="1">
      <c r="A764" s="3204"/>
      <c r="B764" s="2991" t="s">
        <v>3991</v>
      </c>
      <c r="C764" s="2994">
        <v>45.51</v>
      </c>
      <c r="D764" s="2993" t="s">
        <v>3254</v>
      </c>
      <c r="E764" s="2996">
        <v>420000</v>
      </c>
    </row>
    <row r="765" spans="1:6" s="2993" customFormat="1">
      <c r="A765" s="3204"/>
      <c r="B765" s="2991" t="s">
        <v>3992</v>
      </c>
      <c r="C765" s="2994">
        <v>45.51</v>
      </c>
      <c r="D765" s="2993" t="s">
        <v>3254</v>
      </c>
      <c r="E765" s="2996">
        <v>420000</v>
      </c>
    </row>
    <row r="766" spans="1:6" s="2993" customFormat="1">
      <c r="A766" s="3204">
        <v>155</v>
      </c>
      <c r="B766" s="2991" t="s">
        <v>3993</v>
      </c>
      <c r="C766" s="2996">
        <v>134.11000000000001</v>
      </c>
      <c r="D766" s="2993" t="s">
        <v>3257</v>
      </c>
      <c r="E766" s="2996">
        <v>7696563</v>
      </c>
    </row>
    <row r="767" spans="1:6" s="2993" customFormat="1" ht="24">
      <c r="A767" s="3204"/>
      <c r="B767" s="2991" t="s">
        <v>3989</v>
      </c>
      <c r="C767" s="2996">
        <v>84.38</v>
      </c>
      <c r="D767" s="2993" t="s">
        <v>4487</v>
      </c>
      <c r="E767" s="2996">
        <v>2531400</v>
      </c>
      <c r="F767" s="2993">
        <f t="shared" ref="F767:F768" si="151">E767/C767</f>
        <v>30000</v>
      </c>
    </row>
    <row r="768" spans="1:6" s="2993" customFormat="1">
      <c r="A768" s="3204"/>
      <c r="B768" s="2991" t="s">
        <v>3994</v>
      </c>
      <c r="C768" s="2996">
        <v>84.1</v>
      </c>
      <c r="D768" s="2993" t="s">
        <v>3252</v>
      </c>
      <c r="E768" s="2996">
        <v>2523000</v>
      </c>
      <c r="F768" s="2993">
        <f t="shared" si="151"/>
        <v>30000.000000000004</v>
      </c>
    </row>
    <row r="769" spans="1:6" s="2993" customFormat="1">
      <c r="A769" s="3204"/>
      <c r="B769" s="2991" t="s">
        <v>3995</v>
      </c>
      <c r="C769" s="2994">
        <v>45.51</v>
      </c>
      <c r="D769" s="2993" t="s">
        <v>3254</v>
      </c>
      <c r="E769" s="2996">
        <v>420000</v>
      </c>
    </row>
    <row r="770" spans="1:6" s="2993" customFormat="1">
      <c r="A770" s="3204"/>
      <c r="B770" s="2991" t="s">
        <v>3996</v>
      </c>
      <c r="C770" s="2994">
        <v>45.51</v>
      </c>
      <c r="D770" s="2993" t="s">
        <v>3254</v>
      </c>
      <c r="E770" s="2996">
        <v>420000</v>
      </c>
    </row>
    <row r="771" spans="1:6" s="2993" customFormat="1">
      <c r="A771" s="3204">
        <v>156</v>
      </c>
      <c r="B771" s="2991" t="s">
        <v>3997</v>
      </c>
      <c r="C771" s="2996">
        <v>134.11000000000001</v>
      </c>
      <c r="D771" s="2993" t="s">
        <v>3257</v>
      </c>
      <c r="E771" s="2996">
        <v>7696563</v>
      </c>
    </row>
    <row r="772" spans="1:6" s="2993" customFormat="1" ht="24">
      <c r="A772" s="3204"/>
      <c r="B772" s="2991" t="s">
        <v>3998</v>
      </c>
      <c r="C772" s="2996">
        <v>84.38</v>
      </c>
      <c r="D772" s="2993" t="s">
        <v>4487</v>
      </c>
      <c r="E772" s="2996">
        <v>2531400</v>
      </c>
      <c r="F772" s="2993">
        <f t="shared" ref="F772:F773" si="152">E772/C772</f>
        <v>30000</v>
      </c>
    </row>
    <row r="773" spans="1:6" s="2993" customFormat="1">
      <c r="A773" s="3204"/>
      <c r="B773" s="2991" t="s">
        <v>3999</v>
      </c>
      <c r="C773" s="2996">
        <v>84.1</v>
      </c>
      <c r="D773" s="2993" t="s">
        <v>3252</v>
      </c>
      <c r="E773" s="2996">
        <v>2523000</v>
      </c>
      <c r="F773" s="2993">
        <f t="shared" si="152"/>
        <v>30000.000000000004</v>
      </c>
    </row>
    <row r="774" spans="1:6" s="2993" customFormat="1">
      <c r="A774" s="3204"/>
      <c r="B774" s="2991" t="s">
        <v>4000</v>
      </c>
      <c r="C774" s="2994">
        <v>45.51</v>
      </c>
      <c r="D774" s="2993" t="s">
        <v>3254</v>
      </c>
      <c r="E774" s="2996">
        <v>420000</v>
      </c>
    </row>
    <row r="775" spans="1:6" s="2993" customFormat="1">
      <c r="A775" s="3204"/>
      <c r="B775" s="2991" t="s">
        <v>4001</v>
      </c>
      <c r="C775" s="2994">
        <v>45.51</v>
      </c>
      <c r="D775" s="2993" t="s">
        <v>3254</v>
      </c>
      <c r="E775" s="2996">
        <v>420000</v>
      </c>
    </row>
    <row r="776" spans="1:6" s="2993" customFormat="1">
      <c r="A776" s="3204">
        <v>157</v>
      </c>
      <c r="B776" s="2991" t="s">
        <v>4002</v>
      </c>
      <c r="C776" s="2996">
        <v>134.30000000000001</v>
      </c>
      <c r="D776" s="2993" t="s">
        <v>3257</v>
      </c>
      <c r="E776" s="2996">
        <v>7826386</v>
      </c>
    </row>
    <row r="777" spans="1:6" s="2993" customFormat="1" ht="24">
      <c r="A777" s="3204"/>
      <c r="B777" s="2991" t="s">
        <v>4003</v>
      </c>
      <c r="C777" s="2996">
        <v>84.64</v>
      </c>
      <c r="D777" s="2993" t="s">
        <v>4487</v>
      </c>
      <c r="E777" s="2996">
        <v>2539200</v>
      </c>
      <c r="F777" s="2993">
        <f t="shared" ref="F777:F778" si="153">E777/C777</f>
        <v>30000</v>
      </c>
    </row>
    <row r="778" spans="1:6" s="2993" customFormat="1">
      <c r="A778" s="3204"/>
      <c r="B778" s="2991" t="s">
        <v>4004</v>
      </c>
      <c r="C778" s="2996">
        <v>84.1</v>
      </c>
      <c r="D778" s="2993" t="s">
        <v>3252</v>
      </c>
      <c r="E778" s="2996">
        <v>2523000</v>
      </c>
      <c r="F778" s="2993">
        <f t="shared" si="153"/>
        <v>30000.000000000004</v>
      </c>
    </row>
    <row r="779" spans="1:6" s="2993" customFormat="1">
      <c r="A779" s="3204"/>
      <c r="B779" s="2991" t="s">
        <v>4005</v>
      </c>
      <c r="C779" s="2994">
        <v>45.51</v>
      </c>
      <c r="D779" s="2993" t="s">
        <v>3254</v>
      </c>
      <c r="E779" s="2996">
        <v>420000</v>
      </c>
    </row>
    <row r="780" spans="1:6" s="2993" customFormat="1">
      <c r="A780" s="3204"/>
      <c r="B780" s="2991" t="s">
        <v>4006</v>
      </c>
      <c r="C780" s="2994">
        <v>45.51</v>
      </c>
      <c r="D780" s="2993" t="s">
        <v>3254</v>
      </c>
      <c r="E780" s="2996">
        <v>420000</v>
      </c>
    </row>
    <row r="781" spans="1:6" s="2993" customFormat="1">
      <c r="A781" s="3204">
        <v>158</v>
      </c>
      <c r="B781" s="2991" t="s">
        <v>4007</v>
      </c>
      <c r="C781" s="2996">
        <v>134.11000000000001</v>
      </c>
      <c r="D781" s="2993" t="s">
        <v>3257</v>
      </c>
      <c r="E781" s="2996">
        <v>8517058</v>
      </c>
    </row>
    <row r="782" spans="1:6" s="2993" customFormat="1" ht="24">
      <c r="A782" s="3204"/>
      <c r="B782" s="2991" t="s">
        <v>4008</v>
      </c>
      <c r="C782" s="2996">
        <v>84.23</v>
      </c>
      <c r="D782" s="2993" t="s">
        <v>4487</v>
      </c>
      <c r="E782" s="2996">
        <v>2526900</v>
      </c>
      <c r="F782" s="2993">
        <f t="shared" ref="F782:F783" si="154">E782/C782</f>
        <v>30000</v>
      </c>
    </row>
    <row r="783" spans="1:6" s="2993" customFormat="1">
      <c r="A783" s="3204"/>
      <c r="B783" s="2991" t="s">
        <v>4009</v>
      </c>
      <c r="C783" s="2996">
        <v>83.38</v>
      </c>
      <c r="D783" s="2993" t="s">
        <v>3252</v>
      </c>
      <c r="E783" s="2996">
        <v>2501400</v>
      </c>
      <c r="F783" s="2993">
        <f t="shared" si="154"/>
        <v>30000</v>
      </c>
    </row>
    <row r="784" spans="1:6" s="2993" customFormat="1">
      <c r="A784" s="3204"/>
      <c r="B784" s="2991" t="s">
        <v>4010</v>
      </c>
      <c r="C784" s="2994">
        <v>45.51</v>
      </c>
      <c r="D784" s="2993" t="s">
        <v>3254</v>
      </c>
      <c r="E784" s="3002">
        <v>420000</v>
      </c>
    </row>
    <row r="785" spans="1:6" s="2993" customFormat="1">
      <c r="A785" s="3204"/>
      <c r="B785" s="2991" t="s">
        <v>4011</v>
      </c>
      <c r="C785" s="2994">
        <v>45.51</v>
      </c>
      <c r="D785" s="2993" t="s">
        <v>3254</v>
      </c>
      <c r="E785" s="3002">
        <v>420000</v>
      </c>
    </row>
    <row r="786" spans="1:6" s="2993" customFormat="1">
      <c r="A786" s="3204">
        <v>159</v>
      </c>
      <c r="B786" s="2991" t="s">
        <v>4012</v>
      </c>
      <c r="C786" s="2996">
        <v>134.11000000000001</v>
      </c>
      <c r="D786" s="2993" t="s">
        <v>3257</v>
      </c>
      <c r="E786" s="2996">
        <v>7894084</v>
      </c>
    </row>
    <row r="787" spans="1:6" s="2993" customFormat="1" ht="24">
      <c r="A787" s="3204"/>
      <c r="B787" s="2991" t="s">
        <v>4013</v>
      </c>
      <c r="C787" s="2996">
        <v>84.38</v>
      </c>
      <c r="D787" s="2993" t="s">
        <v>4487</v>
      </c>
      <c r="E787" s="2996">
        <v>2531400</v>
      </c>
      <c r="F787" s="2993">
        <f t="shared" ref="F787:F788" si="155">E787/C787</f>
        <v>30000</v>
      </c>
    </row>
    <row r="788" spans="1:6" s="2993" customFormat="1">
      <c r="A788" s="3204"/>
      <c r="B788" s="2991" t="s">
        <v>4014</v>
      </c>
      <c r="C788" s="2996">
        <v>84.1</v>
      </c>
      <c r="D788" s="2993" t="s">
        <v>3252</v>
      </c>
      <c r="E788" s="2996">
        <v>2523000</v>
      </c>
      <c r="F788" s="2993">
        <f t="shared" si="155"/>
        <v>30000.000000000004</v>
      </c>
    </row>
    <row r="789" spans="1:6" s="2993" customFormat="1">
      <c r="A789" s="3204"/>
      <c r="B789" s="2991" t="s">
        <v>4015</v>
      </c>
      <c r="C789" s="2994">
        <v>45.51</v>
      </c>
      <c r="D789" s="2993" t="s">
        <v>3254</v>
      </c>
      <c r="E789" s="3002">
        <v>420000</v>
      </c>
    </row>
    <row r="790" spans="1:6" s="2993" customFormat="1">
      <c r="A790" s="3204"/>
      <c r="B790" s="2991" t="s">
        <v>4016</v>
      </c>
      <c r="C790" s="2994">
        <v>45.51</v>
      </c>
      <c r="D790" s="2993" t="s">
        <v>3254</v>
      </c>
      <c r="E790" s="3002">
        <v>420000</v>
      </c>
    </row>
    <row r="791" spans="1:6" s="2993" customFormat="1">
      <c r="A791" s="3204">
        <v>160</v>
      </c>
      <c r="B791" s="2991" t="s">
        <v>4017</v>
      </c>
      <c r="C791" s="2996">
        <v>134.11000000000001</v>
      </c>
      <c r="D791" s="2993" t="s">
        <v>3257</v>
      </c>
      <c r="E791" s="2996">
        <v>7894084</v>
      </c>
    </row>
    <row r="792" spans="1:6" s="2993" customFormat="1" ht="24">
      <c r="A792" s="3204"/>
      <c r="B792" s="2991" t="s">
        <v>4018</v>
      </c>
      <c r="C792" s="2996">
        <v>84.38</v>
      </c>
      <c r="D792" s="2993" t="s">
        <v>4487</v>
      </c>
      <c r="E792" s="2996">
        <v>2531400</v>
      </c>
      <c r="F792" s="2993">
        <f t="shared" ref="F792:F793" si="156">E792/C792</f>
        <v>30000</v>
      </c>
    </row>
    <row r="793" spans="1:6" s="2993" customFormat="1">
      <c r="A793" s="3204"/>
      <c r="B793" s="2991" t="s">
        <v>4019</v>
      </c>
      <c r="C793" s="2996">
        <v>84.1</v>
      </c>
      <c r="D793" s="2993" t="s">
        <v>3252</v>
      </c>
      <c r="E793" s="2996">
        <v>2523000</v>
      </c>
      <c r="F793" s="2993">
        <f t="shared" si="156"/>
        <v>30000.000000000004</v>
      </c>
    </row>
    <row r="794" spans="1:6" s="2993" customFormat="1">
      <c r="A794" s="3204"/>
      <c r="B794" s="2991" t="s">
        <v>4020</v>
      </c>
      <c r="C794" s="2994">
        <v>45.51</v>
      </c>
      <c r="D794" s="2993" t="s">
        <v>3254</v>
      </c>
      <c r="E794" s="3002">
        <v>420000</v>
      </c>
    </row>
    <row r="795" spans="1:6" s="2993" customFormat="1">
      <c r="A795" s="3204"/>
      <c r="B795" s="2991" t="s">
        <v>4021</v>
      </c>
      <c r="C795" s="2994">
        <v>45.51</v>
      </c>
      <c r="D795" s="2993" t="s">
        <v>3254</v>
      </c>
      <c r="E795" s="3002">
        <v>420000</v>
      </c>
    </row>
    <row r="796" spans="1:6" s="2993" customFormat="1">
      <c r="A796" s="3204">
        <v>161</v>
      </c>
      <c r="B796" s="2991" t="s">
        <v>4022</v>
      </c>
      <c r="C796" s="2996">
        <v>134.30000000000001</v>
      </c>
      <c r="D796" s="2993" t="s">
        <v>3257</v>
      </c>
      <c r="E796" s="2996">
        <v>8024196</v>
      </c>
    </row>
    <row r="797" spans="1:6" s="2993" customFormat="1" ht="24">
      <c r="A797" s="3204"/>
      <c r="B797" s="2991" t="s">
        <v>4023</v>
      </c>
      <c r="C797" s="2996">
        <v>84.64</v>
      </c>
      <c r="D797" s="2993" t="s">
        <v>4487</v>
      </c>
      <c r="E797" s="2996">
        <v>2539200</v>
      </c>
      <c r="F797" s="2993">
        <f t="shared" ref="F797:F798" si="157">E797/C797</f>
        <v>30000</v>
      </c>
    </row>
    <row r="798" spans="1:6" s="2993" customFormat="1">
      <c r="A798" s="3204"/>
      <c r="B798" s="2991" t="s">
        <v>4024</v>
      </c>
      <c r="C798" s="2996">
        <v>84.1</v>
      </c>
      <c r="D798" s="2993" t="s">
        <v>3252</v>
      </c>
      <c r="E798" s="2996">
        <v>2523000</v>
      </c>
      <c r="F798" s="2993">
        <f t="shared" si="157"/>
        <v>30000.000000000004</v>
      </c>
    </row>
    <row r="799" spans="1:6" s="2993" customFormat="1">
      <c r="A799" s="3204"/>
      <c r="B799" s="2991" t="s">
        <v>4025</v>
      </c>
      <c r="C799" s="2994">
        <v>45.51</v>
      </c>
      <c r="D799" s="2993" t="s">
        <v>3254</v>
      </c>
      <c r="E799" s="3002">
        <v>420000</v>
      </c>
    </row>
    <row r="800" spans="1:6" s="2993" customFormat="1">
      <c r="A800" s="3204"/>
      <c r="B800" s="2991" t="s">
        <v>4026</v>
      </c>
      <c r="C800" s="2994">
        <v>45.51</v>
      </c>
      <c r="D800" s="2993" t="s">
        <v>3254</v>
      </c>
      <c r="E800" s="3002">
        <v>420000</v>
      </c>
    </row>
    <row r="801" spans="1:6" s="2993" customFormat="1">
      <c r="A801" s="3204">
        <v>162</v>
      </c>
      <c r="B801" s="2991" t="s">
        <v>4027</v>
      </c>
      <c r="C801" s="2996">
        <v>178.28</v>
      </c>
      <c r="D801" s="2993" t="s">
        <v>3257</v>
      </c>
      <c r="E801" s="2996">
        <v>11322206</v>
      </c>
    </row>
    <row r="802" spans="1:6" s="2993" customFormat="1" ht="24">
      <c r="A802" s="3204"/>
      <c r="B802" s="2991" t="s">
        <v>4028</v>
      </c>
      <c r="C802" s="2996">
        <v>114.56</v>
      </c>
      <c r="D802" s="2993" t="s">
        <v>4487</v>
      </c>
      <c r="E802" s="2996">
        <v>3436800</v>
      </c>
      <c r="F802" s="2993">
        <f t="shared" ref="F802:F803" si="158">E802/C802</f>
        <v>30000</v>
      </c>
    </row>
    <row r="803" spans="1:6" s="2993" customFormat="1">
      <c r="A803" s="3204"/>
      <c r="B803" s="2991" t="s">
        <v>4029</v>
      </c>
      <c r="C803" s="2996">
        <v>114.12</v>
      </c>
      <c r="D803" s="2993" t="s">
        <v>3252</v>
      </c>
      <c r="E803" s="2996">
        <v>3423600</v>
      </c>
      <c r="F803" s="2993">
        <f t="shared" si="158"/>
        <v>30000</v>
      </c>
    </row>
    <row r="804" spans="1:6" s="2993" customFormat="1">
      <c r="A804" s="3204"/>
      <c r="B804" s="2991" t="s">
        <v>4030</v>
      </c>
      <c r="C804" s="2994">
        <v>45.51</v>
      </c>
      <c r="D804" s="2993" t="s">
        <v>3254</v>
      </c>
      <c r="E804" s="3002">
        <v>420000</v>
      </c>
    </row>
    <row r="805" spans="1:6" s="2993" customFormat="1">
      <c r="A805" s="3204"/>
      <c r="B805" s="2991" t="s">
        <v>4031</v>
      </c>
      <c r="C805" s="2994">
        <v>45.51</v>
      </c>
      <c r="D805" s="2993" t="s">
        <v>3254</v>
      </c>
      <c r="E805" s="3002">
        <v>420000</v>
      </c>
    </row>
    <row r="806" spans="1:6" s="2993" customFormat="1">
      <c r="A806" s="3204">
        <v>163</v>
      </c>
      <c r="B806" s="2991" t="s">
        <v>4032</v>
      </c>
      <c r="C806" s="2996">
        <v>178.28</v>
      </c>
      <c r="D806" s="2993" t="s">
        <v>3257</v>
      </c>
      <c r="E806" s="2996">
        <v>11322206</v>
      </c>
    </row>
    <row r="807" spans="1:6" s="2993" customFormat="1" ht="24">
      <c r="A807" s="3204"/>
      <c r="B807" s="2991" t="s">
        <v>4033</v>
      </c>
      <c r="C807" s="2996">
        <v>114.56</v>
      </c>
      <c r="D807" s="2993" t="s">
        <v>4487</v>
      </c>
      <c r="E807" s="2996">
        <v>3436800</v>
      </c>
      <c r="F807" s="2993">
        <f t="shared" ref="F807:F808" si="159">E807/C807</f>
        <v>30000</v>
      </c>
    </row>
    <row r="808" spans="1:6" s="2993" customFormat="1">
      <c r="A808" s="3204"/>
      <c r="B808" s="2991" t="s">
        <v>4034</v>
      </c>
      <c r="C808" s="2996">
        <v>114.12</v>
      </c>
      <c r="D808" s="2993" t="s">
        <v>3252</v>
      </c>
      <c r="E808" s="2996">
        <v>3423600</v>
      </c>
      <c r="F808" s="2993">
        <f t="shared" si="159"/>
        <v>30000</v>
      </c>
    </row>
    <row r="809" spans="1:6" s="2993" customFormat="1">
      <c r="A809" s="3204"/>
      <c r="B809" s="2991" t="s">
        <v>4035</v>
      </c>
      <c r="C809" s="2994">
        <v>45.51</v>
      </c>
      <c r="D809" s="2993" t="s">
        <v>3254</v>
      </c>
      <c r="E809" s="3002">
        <v>420000</v>
      </c>
    </row>
    <row r="810" spans="1:6" s="2993" customFormat="1">
      <c r="A810" s="3204"/>
      <c r="B810" s="2991" t="s">
        <v>4036</v>
      </c>
      <c r="C810" s="2994">
        <v>45.51</v>
      </c>
      <c r="D810" s="2993" t="s">
        <v>3254</v>
      </c>
      <c r="E810" s="3002">
        <v>420000</v>
      </c>
    </row>
    <row r="811" spans="1:6" s="2993" customFormat="1">
      <c r="A811" s="3204">
        <v>164</v>
      </c>
      <c r="B811" s="2991" t="s">
        <v>4037</v>
      </c>
      <c r="C811" s="2994">
        <v>134.29</v>
      </c>
      <c r="D811" s="2993" t="s">
        <v>3257</v>
      </c>
      <c r="E811" s="3002">
        <v>8528489</v>
      </c>
    </row>
    <row r="812" spans="1:6" s="2993" customFormat="1" ht="24">
      <c r="A812" s="3204"/>
      <c r="B812" s="2991" t="s">
        <v>4038</v>
      </c>
      <c r="C812" s="2994">
        <v>84.35</v>
      </c>
      <c r="D812" s="2993" t="s">
        <v>4487</v>
      </c>
      <c r="E812" s="3002">
        <v>2530500</v>
      </c>
      <c r="F812" s="2993">
        <f t="shared" ref="F812:F813" si="160">E812/C812</f>
        <v>30000.000000000004</v>
      </c>
    </row>
    <row r="813" spans="1:6" s="2993" customFormat="1">
      <c r="A813" s="3204"/>
      <c r="B813" s="2991" t="s">
        <v>4039</v>
      </c>
      <c r="C813" s="2996">
        <v>83.45</v>
      </c>
      <c r="D813" s="2993" t="s">
        <v>3252</v>
      </c>
      <c r="E813" s="2996">
        <v>2503500</v>
      </c>
      <c r="F813" s="2993">
        <f t="shared" si="160"/>
        <v>30000</v>
      </c>
    </row>
    <row r="814" spans="1:6" s="2993" customFormat="1">
      <c r="A814" s="3204"/>
      <c r="B814" s="2991" t="s">
        <v>4040</v>
      </c>
      <c r="C814" s="2994">
        <v>45.51</v>
      </c>
      <c r="D814" s="2993" t="s">
        <v>3254</v>
      </c>
      <c r="E814" s="3002">
        <v>420000</v>
      </c>
    </row>
    <row r="815" spans="1:6" s="2993" customFormat="1">
      <c r="A815" s="3204"/>
      <c r="B815" s="2991" t="s">
        <v>4041</v>
      </c>
      <c r="C815" s="2994">
        <v>45.51</v>
      </c>
      <c r="D815" s="2993" t="s">
        <v>3254</v>
      </c>
      <c r="E815" s="3002">
        <v>420000</v>
      </c>
    </row>
    <row r="816" spans="1:6" s="2993" customFormat="1">
      <c r="A816" s="3204">
        <v>165</v>
      </c>
      <c r="B816" s="2991" t="s">
        <v>4042</v>
      </c>
      <c r="C816" s="2994">
        <v>134.28</v>
      </c>
      <c r="D816" s="2993" t="s">
        <v>3257</v>
      </c>
      <c r="E816" s="3002">
        <v>7587713</v>
      </c>
    </row>
    <row r="817" spans="1:6" s="2993" customFormat="1" ht="24">
      <c r="A817" s="3204"/>
      <c r="B817" s="2991" t="s">
        <v>4043</v>
      </c>
      <c r="C817" s="2996">
        <v>84.49</v>
      </c>
      <c r="D817" s="2993" t="s">
        <v>4487</v>
      </c>
      <c r="E817" s="2996">
        <v>2534700</v>
      </c>
      <c r="F817" s="2993">
        <f t="shared" ref="F817:F818" si="161">E817/C817</f>
        <v>30000</v>
      </c>
    </row>
    <row r="818" spans="1:6" s="2993" customFormat="1">
      <c r="A818" s="3204"/>
      <c r="B818" s="2991" t="s">
        <v>4044</v>
      </c>
      <c r="C818" s="2996">
        <v>84.17</v>
      </c>
      <c r="D818" s="2993" t="s">
        <v>3252</v>
      </c>
      <c r="E818" s="2996">
        <v>2525100</v>
      </c>
      <c r="F818" s="2993">
        <f t="shared" si="161"/>
        <v>30000</v>
      </c>
    </row>
    <row r="819" spans="1:6" s="2993" customFormat="1">
      <c r="A819" s="3204"/>
      <c r="B819" s="2991" t="s">
        <v>4045</v>
      </c>
      <c r="C819" s="2994">
        <v>45.51</v>
      </c>
      <c r="D819" s="2993" t="s">
        <v>3254</v>
      </c>
      <c r="E819" s="3002">
        <v>420000</v>
      </c>
    </row>
    <row r="820" spans="1:6" s="2993" customFormat="1">
      <c r="A820" s="3204"/>
      <c r="B820" s="2991" t="s">
        <v>4046</v>
      </c>
      <c r="C820" s="2994">
        <v>45.51</v>
      </c>
      <c r="D820" s="2993" t="s">
        <v>3254</v>
      </c>
      <c r="E820" s="3002">
        <v>420000</v>
      </c>
    </row>
    <row r="821" spans="1:6" s="2993" customFormat="1">
      <c r="A821" s="3204">
        <v>166</v>
      </c>
      <c r="B821" s="2991" t="s">
        <v>4047</v>
      </c>
      <c r="C821" s="2994">
        <v>134.47</v>
      </c>
      <c r="D821" s="2993" t="s">
        <v>3257</v>
      </c>
      <c r="E821" s="3002">
        <v>7717461</v>
      </c>
    </row>
    <row r="822" spans="1:6" s="2993" customFormat="1" ht="24">
      <c r="A822" s="3204"/>
      <c r="B822" s="2991" t="s">
        <v>4048</v>
      </c>
      <c r="C822" s="2994">
        <v>84.77</v>
      </c>
      <c r="D822" s="2993" t="s">
        <v>4487</v>
      </c>
      <c r="E822" s="3002">
        <v>2543100</v>
      </c>
      <c r="F822" s="2993">
        <f t="shared" ref="F822:F823" si="162">E822/C822</f>
        <v>30000</v>
      </c>
    </row>
    <row r="823" spans="1:6" s="2993" customFormat="1">
      <c r="A823" s="3204"/>
      <c r="B823" s="2991" t="s">
        <v>4049</v>
      </c>
      <c r="C823" s="2996">
        <v>84.17</v>
      </c>
      <c r="D823" s="2993" t="s">
        <v>3252</v>
      </c>
      <c r="E823" s="2996">
        <v>2525100</v>
      </c>
      <c r="F823" s="2993">
        <f t="shared" si="162"/>
        <v>30000</v>
      </c>
    </row>
    <row r="824" spans="1:6" s="2993" customFormat="1">
      <c r="A824" s="3204"/>
      <c r="B824" s="2991" t="s">
        <v>4050</v>
      </c>
      <c r="C824" s="2994">
        <v>45.51</v>
      </c>
      <c r="D824" s="2993" t="s">
        <v>3254</v>
      </c>
      <c r="E824" s="3002">
        <v>420000</v>
      </c>
    </row>
    <row r="825" spans="1:6" s="2993" customFormat="1">
      <c r="A825" s="3204"/>
      <c r="B825" s="2991" t="s">
        <v>4051</v>
      </c>
      <c r="C825" s="2994">
        <v>45.51</v>
      </c>
      <c r="D825" s="2993" t="s">
        <v>3254</v>
      </c>
      <c r="E825" s="3002">
        <v>420000</v>
      </c>
    </row>
    <row r="826" spans="1:6" s="2993" customFormat="1">
      <c r="A826" s="3204">
        <v>167</v>
      </c>
      <c r="B826" s="2991" t="s">
        <v>4052</v>
      </c>
      <c r="C826" s="2996">
        <v>134.29</v>
      </c>
      <c r="D826" s="2993" t="s">
        <v>3384</v>
      </c>
      <c r="E826" s="2996">
        <v>8528489</v>
      </c>
    </row>
    <row r="827" spans="1:6" s="2993" customFormat="1" ht="24">
      <c r="A827" s="3204"/>
      <c r="B827" s="2991" t="s">
        <v>4053</v>
      </c>
      <c r="C827" s="2996">
        <v>84.35</v>
      </c>
      <c r="D827" s="2993" t="s">
        <v>4487</v>
      </c>
      <c r="E827" s="2996">
        <v>2530500</v>
      </c>
      <c r="F827" s="2993">
        <f t="shared" ref="F827:F828" si="163">E827/C827</f>
        <v>30000.000000000004</v>
      </c>
    </row>
    <row r="828" spans="1:6" s="2993" customFormat="1">
      <c r="A828" s="3204"/>
      <c r="B828" s="2991" t="s">
        <v>4054</v>
      </c>
      <c r="C828" s="2996">
        <v>83.45</v>
      </c>
      <c r="D828" s="2993" t="s">
        <v>3379</v>
      </c>
      <c r="E828" s="2996">
        <v>2503500</v>
      </c>
      <c r="F828" s="2993">
        <f t="shared" si="163"/>
        <v>30000</v>
      </c>
    </row>
    <row r="829" spans="1:6" s="2993" customFormat="1">
      <c r="A829" s="3204"/>
      <c r="B829" s="2991" t="s">
        <v>4055</v>
      </c>
      <c r="C829" s="2994">
        <v>45.51</v>
      </c>
      <c r="D829" s="2993" t="s">
        <v>3381</v>
      </c>
      <c r="E829" s="3002">
        <v>420000</v>
      </c>
    </row>
    <row r="830" spans="1:6" s="2993" customFormat="1">
      <c r="A830" s="3204"/>
      <c r="B830" s="2991" t="s">
        <v>4056</v>
      </c>
      <c r="C830" s="2994">
        <v>45.51</v>
      </c>
      <c r="D830" s="2993" t="s">
        <v>3381</v>
      </c>
      <c r="E830" s="3002">
        <v>420000</v>
      </c>
    </row>
    <row r="831" spans="1:6" s="2993" customFormat="1">
      <c r="A831" s="3204">
        <v>168</v>
      </c>
      <c r="B831" s="2991" t="s">
        <v>4057</v>
      </c>
      <c r="C831" s="2996">
        <v>134.28</v>
      </c>
      <c r="D831" s="2993" t="s">
        <v>3384</v>
      </c>
      <c r="E831" s="2996">
        <v>7785469</v>
      </c>
    </row>
    <row r="832" spans="1:6" s="2993" customFormat="1" ht="24">
      <c r="A832" s="3204"/>
      <c r="B832" s="2991" t="s">
        <v>4058</v>
      </c>
      <c r="C832" s="2996">
        <v>84.49</v>
      </c>
      <c r="D832" s="2993" t="s">
        <v>4487</v>
      </c>
      <c r="E832" s="2996">
        <v>2534700</v>
      </c>
      <c r="F832" s="2993">
        <f t="shared" ref="F832:F833" si="164">E832/C832</f>
        <v>30000</v>
      </c>
    </row>
    <row r="833" spans="1:6" s="2993" customFormat="1">
      <c r="A833" s="3204"/>
      <c r="B833" s="2991" t="s">
        <v>4059</v>
      </c>
      <c r="C833" s="2996">
        <v>84.17</v>
      </c>
      <c r="D833" s="2993" t="s">
        <v>3379</v>
      </c>
      <c r="E833" s="2996">
        <v>2525100</v>
      </c>
      <c r="F833" s="2993">
        <f t="shared" si="164"/>
        <v>30000</v>
      </c>
    </row>
    <row r="834" spans="1:6" s="2993" customFormat="1">
      <c r="A834" s="3204"/>
      <c r="B834" s="2991" t="s">
        <v>4060</v>
      </c>
      <c r="C834" s="2994">
        <v>45.51</v>
      </c>
      <c r="D834" s="2993" t="s">
        <v>3381</v>
      </c>
      <c r="E834" s="3002">
        <v>420000</v>
      </c>
    </row>
    <row r="835" spans="1:6" s="2993" customFormat="1">
      <c r="A835" s="3204"/>
      <c r="B835" s="2991" t="s">
        <v>4061</v>
      </c>
      <c r="C835" s="2994">
        <v>45.51</v>
      </c>
      <c r="D835" s="2993" t="s">
        <v>3381</v>
      </c>
      <c r="E835" s="3002">
        <v>420000</v>
      </c>
    </row>
    <row r="836" spans="1:6" s="2993" customFormat="1">
      <c r="A836" s="3204">
        <v>169</v>
      </c>
      <c r="B836" s="2991" t="s">
        <v>4062</v>
      </c>
      <c r="C836" s="2996">
        <v>134.47</v>
      </c>
      <c r="D836" s="2993" t="s">
        <v>3384</v>
      </c>
      <c r="E836" s="2996">
        <v>7915515</v>
      </c>
    </row>
    <row r="837" spans="1:6" s="2993" customFormat="1" ht="24">
      <c r="A837" s="3204"/>
      <c r="B837" s="2991" t="s">
        <v>4063</v>
      </c>
      <c r="C837" s="2996">
        <v>84.77</v>
      </c>
      <c r="D837" s="2993" t="s">
        <v>4487</v>
      </c>
      <c r="E837" s="2996">
        <v>2543100</v>
      </c>
      <c r="F837" s="2993">
        <f t="shared" ref="F837:F838" si="165">E837/C837</f>
        <v>30000</v>
      </c>
    </row>
    <row r="838" spans="1:6" s="2993" customFormat="1">
      <c r="A838" s="3204"/>
      <c r="B838" s="2991" t="s">
        <v>4064</v>
      </c>
      <c r="C838" s="2996">
        <v>84.17</v>
      </c>
      <c r="D838" s="2993" t="s">
        <v>3379</v>
      </c>
      <c r="E838" s="2996">
        <v>2525100</v>
      </c>
      <c r="F838" s="2993">
        <f t="shared" si="165"/>
        <v>30000</v>
      </c>
    </row>
    <row r="839" spans="1:6" s="2993" customFormat="1">
      <c r="A839" s="3204"/>
      <c r="B839" s="2991" t="s">
        <v>4065</v>
      </c>
      <c r="C839" s="2994">
        <v>45.51</v>
      </c>
      <c r="D839" s="2993" t="s">
        <v>3381</v>
      </c>
      <c r="E839" s="3002">
        <v>420000</v>
      </c>
    </row>
    <row r="840" spans="1:6" s="2993" customFormat="1">
      <c r="A840" s="3204"/>
      <c r="B840" s="2991" t="s">
        <v>4066</v>
      </c>
      <c r="C840" s="2994">
        <v>45.51</v>
      </c>
      <c r="D840" s="2993" t="s">
        <v>3381</v>
      </c>
      <c r="E840" s="3002">
        <v>420000</v>
      </c>
    </row>
    <row r="841" spans="1:6" s="2993" customFormat="1">
      <c r="A841" s="3204">
        <v>170</v>
      </c>
      <c r="B841" s="2991" t="s">
        <v>4067</v>
      </c>
      <c r="C841" s="2995">
        <v>134.47</v>
      </c>
      <c r="D841" s="2993" t="s">
        <v>3384</v>
      </c>
      <c r="E841" s="2995">
        <v>8539921</v>
      </c>
    </row>
    <row r="842" spans="1:6" s="2993" customFormat="1" ht="24">
      <c r="A842" s="3204"/>
      <c r="B842" s="2991" t="s">
        <v>4068</v>
      </c>
      <c r="C842" s="2995">
        <v>84.48</v>
      </c>
      <c r="D842" s="2993" t="s">
        <v>4487</v>
      </c>
      <c r="E842" s="2995">
        <v>2534400</v>
      </c>
      <c r="F842" s="2993">
        <f t="shared" ref="F842:F843" si="166">E842/C842</f>
        <v>30000</v>
      </c>
    </row>
    <row r="843" spans="1:6" s="2993" customFormat="1">
      <c r="A843" s="3204"/>
      <c r="B843" s="2991" t="s">
        <v>4069</v>
      </c>
      <c r="C843" s="2996">
        <v>83.57</v>
      </c>
      <c r="D843" s="2993" t="s">
        <v>3379</v>
      </c>
      <c r="E843" s="2996">
        <v>2507100</v>
      </c>
      <c r="F843" s="2993">
        <f t="shared" si="166"/>
        <v>30000.000000000004</v>
      </c>
    </row>
    <row r="844" spans="1:6" s="2993" customFormat="1">
      <c r="A844" s="3204"/>
      <c r="B844" s="2991" t="s">
        <v>4070</v>
      </c>
      <c r="C844" s="2994">
        <v>45.51</v>
      </c>
      <c r="D844" s="2993" t="s">
        <v>3381</v>
      </c>
      <c r="E844" s="3002">
        <v>420000</v>
      </c>
    </row>
    <row r="845" spans="1:6" s="2993" customFormat="1">
      <c r="A845" s="3204"/>
      <c r="B845" s="2991" t="s">
        <v>4071</v>
      </c>
      <c r="C845" s="2994">
        <v>45.51</v>
      </c>
      <c r="D845" s="2993" t="s">
        <v>3381</v>
      </c>
      <c r="E845" s="3002">
        <v>420000</v>
      </c>
    </row>
    <row r="846" spans="1:6" s="2993" customFormat="1">
      <c r="A846" s="3204">
        <v>171</v>
      </c>
      <c r="B846" s="2991" t="s">
        <v>4072</v>
      </c>
      <c r="C846" s="2996">
        <v>134.66</v>
      </c>
      <c r="D846" s="2993" t="s">
        <v>3384</v>
      </c>
      <c r="E846" s="2996">
        <v>7847366</v>
      </c>
    </row>
    <row r="847" spans="1:6" s="2993" customFormat="1" ht="24">
      <c r="A847" s="3204"/>
      <c r="B847" s="2991" t="s">
        <v>4073</v>
      </c>
      <c r="C847" s="2996">
        <v>84.89</v>
      </c>
      <c r="D847" s="2993" t="s">
        <v>4487</v>
      </c>
      <c r="E847" s="2996">
        <v>2546700</v>
      </c>
      <c r="F847" s="2993">
        <f t="shared" ref="F847:F848" si="167">E847/C847</f>
        <v>30000</v>
      </c>
    </row>
    <row r="848" spans="1:6" s="2993" customFormat="1">
      <c r="A848" s="3204"/>
      <c r="B848" s="2991" t="s">
        <v>4074</v>
      </c>
      <c r="C848" s="2996">
        <v>84.29</v>
      </c>
      <c r="D848" s="2993" t="s">
        <v>3379</v>
      </c>
      <c r="E848" s="2996">
        <v>2528700</v>
      </c>
      <c r="F848" s="2993">
        <f t="shared" si="167"/>
        <v>29999.999999999996</v>
      </c>
    </row>
    <row r="849" spans="1:6" s="2993" customFormat="1">
      <c r="A849" s="3204"/>
      <c r="B849" s="2991" t="s">
        <v>4075</v>
      </c>
      <c r="C849" s="2994">
        <v>45.51</v>
      </c>
      <c r="D849" s="2993" t="s">
        <v>3381</v>
      </c>
      <c r="E849" s="3002">
        <v>420000</v>
      </c>
    </row>
    <row r="850" spans="1:6" s="2993" customFormat="1">
      <c r="A850" s="3204"/>
      <c r="B850" s="2991" t="s">
        <v>4076</v>
      </c>
      <c r="C850" s="2994">
        <v>45.51</v>
      </c>
      <c r="D850" s="2993" t="s">
        <v>3381</v>
      </c>
      <c r="E850" s="3002">
        <v>420000</v>
      </c>
    </row>
    <row r="851" spans="1:6" s="2993" customFormat="1">
      <c r="A851" s="3204">
        <v>172</v>
      </c>
      <c r="B851" s="2991" t="s">
        <v>4077</v>
      </c>
      <c r="C851" s="2996">
        <v>134.47</v>
      </c>
      <c r="D851" s="2993" t="s">
        <v>3384</v>
      </c>
      <c r="E851" s="2996">
        <v>8539921</v>
      </c>
    </row>
    <row r="852" spans="1:6" s="2993" customFormat="1" ht="24">
      <c r="A852" s="3204"/>
      <c r="B852" s="2991" t="s">
        <v>4078</v>
      </c>
      <c r="C852" s="2996">
        <v>84.48</v>
      </c>
      <c r="D852" s="2993" t="s">
        <v>4487</v>
      </c>
      <c r="E852" s="2996">
        <v>2534400</v>
      </c>
      <c r="F852" s="2993">
        <f t="shared" ref="F852:F853" si="168">E852/C852</f>
        <v>30000</v>
      </c>
    </row>
    <row r="853" spans="1:6" s="2993" customFormat="1">
      <c r="A853" s="3204"/>
      <c r="B853" s="2991" t="s">
        <v>4079</v>
      </c>
      <c r="C853" s="2996">
        <v>83.57</v>
      </c>
      <c r="D853" s="2993" t="s">
        <v>3379</v>
      </c>
      <c r="E853" s="2996">
        <v>2507100</v>
      </c>
      <c r="F853" s="2993">
        <f t="shared" si="168"/>
        <v>30000.000000000004</v>
      </c>
    </row>
    <row r="854" spans="1:6" s="2993" customFormat="1">
      <c r="A854" s="3204"/>
      <c r="B854" s="2991" t="s">
        <v>4080</v>
      </c>
      <c r="C854" s="2994">
        <v>45.51</v>
      </c>
      <c r="D854" s="2993" t="s">
        <v>3381</v>
      </c>
      <c r="E854" s="3002">
        <v>420000</v>
      </c>
    </row>
    <row r="855" spans="1:6" s="2993" customFormat="1">
      <c r="A855" s="3204"/>
      <c r="B855" s="2991" t="s">
        <v>4081</v>
      </c>
      <c r="C855" s="2994">
        <v>45.51</v>
      </c>
      <c r="D855" s="2993" t="s">
        <v>3381</v>
      </c>
      <c r="E855" s="3002">
        <v>420000</v>
      </c>
    </row>
    <row r="856" spans="1:6" s="2993" customFormat="1">
      <c r="A856" s="3204">
        <v>173</v>
      </c>
      <c r="B856" s="2991" t="s">
        <v>4082</v>
      </c>
      <c r="C856" s="2996">
        <v>134.66</v>
      </c>
      <c r="D856" s="2993" t="s">
        <v>3384</v>
      </c>
      <c r="E856" s="2996">
        <v>8045701</v>
      </c>
    </row>
    <row r="857" spans="1:6" s="2993" customFormat="1" ht="24">
      <c r="A857" s="3204"/>
      <c r="B857" s="2991" t="s">
        <v>4083</v>
      </c>
      <c r="C857" s="2996">
        <v>84.89</v>
      </c>
      <c r="D857" s="2993" t="s">
        <v>4487</v>
      </c>
      <c r="E857" s="2996">
        <v>2546700</v>
      </c>
      <c r="F857" s="2993">
        <f t="shared" ref="F857:F858" si="169">E857/C857</f>
        <v>30000</v>
      </c>
    </row>
    <row r="858" spans="1:6" s="2993" customFormat="1">
      <c r="A858" s="3204"/>
      <c r="B858" s="2991" t="s">
        <v>4084</v>
      </c>
      <c r="C858" s="2996">
        <v>84.29</v>
      </c>
      <c r="D858" s="2993" t="s">
        <v>3379</v>
      </c>
      <c r="E858" s="2996">
        <v>2528700</v>
      </c>
      <c r="F858" s="2993">
        <f t="shared" si="169"/>
        <v>29999.999999999996</v>
      </c>
    </row>
    <row r="859" spans="1:6" s="2993" customFormat="1">
      <c r="A859" s="3204"/>
      <c r="B859" s="2991" t="s">
        <v>4085</v>
      </c>
      <c r="C859" s="2994">
        <v>45.51</v>
      </c>
      <c r="D859" s="2993" t="s">
        <v>3381</v>
      </c>
      <c r="E859" s="3002">
        <v>420000</v>
      </c>
    </row>
    <row r="860" spans="1:6" s="2993" customFormat="1">
      <c r="A860" s="3204"/>
      <c r="B860" s="2991" t="s">
        <v>4086</v>
      </c>
      <c r="C860" s="2994">
        <v>45.51</v>
      </c>
      <c r="D860" s="2993" t="s">
        <v>3381</v>
      </c>
      <c r="E860" s="3002">
        <v>420000</v>
      </c>
    </row>
    <row r="861" spans="1:6" s="2993" customFormat="1">
      <c r="A861" s="3204">
        <v>174</v>
      </c>
      <c r="B861" s="2991" t="s">
        <v>4087</v>
      </c>
      <c r="C861" s="2999">
        <v>134.47</v>
      </c>
      <c r="D861" s="2993" t="s">
        <v>3384</v>
      </c>
      <c r="E861" s="2996">
        <v>8539921</v>
      </c>
    </row>
    <row r="862" spans="1:6" s="2993" customFormat="1" ht="24">
      <c r="A862" s="3204"/>
      <c r="B862" s="2991" t="s">
        <v>4088</v>
      </c>
      <c r="C862" s="2996">
        <v>84.48</v>
      </c>
      <c r="D862" s="2993" t="s">
        <v>4487</v>
      </c>
      <c r="E862" s="2996">
        <v>2534400</v>
      </c>
      <c r="F862" s="2993">
        <f t="shared" ref="F862:F863" si="170">E862/C862</f>
        <v>30000</v>
      </c>
    </row>
    <row r="863" spans="1:6" s="2993" customFormat="1">
      <c r="A863" s="3204"/>
      <c r="B863" s="2991" t="s">
        <v>4089</v>
      </c>
      <c r="C863" s="2996">
        <v>83.57</v>
      </c>
      <c r="D863" s="2993" t="s">
        <v>3379</v>
      </c>
      <c r="E863" s="2996">
        <v>2507100</v>
      </c>
      <c r="F863" s="2993">
        <f t="shared" si="170"/>
        <v>30000.000000000004</v>
      </c>
    </row>
    <row r="864" spans="1:6" s="2993" customFormat="1">
      <c r="A864" s="3204"/>
      <c r="B864" s="2991" t="s">
        <v>4090</v>
      </c>
      <c r="C864" s="2994">
        <v>45.51</v>
      </c>
      <c r="D864" s="2993" t="s">
        <v>3381</v>
      </c>
      <c r="E864" s="3002">
        <v>420000</v>
      </c>
    </row>
    <row r="865" spans="1:6" s="2993" customFormat="1">
      <c r="A865" s="3204"/>
      <c r="B865" s="2991" t="s">
        <v>4091</v>
      </c>
      <c r="C865" s="2994">
        <v>45.51</v>
      </c>
      <c r="D865" s="2993" t="s">
        <v>3381</v>
      </c>
      <c r="E865" s="3002">
        <v>420000</v>
      </c>
    </row>
    <row r="866" spans="1:6" s="2993" customFormat="1">
      <c r="A866" s="3204">
        <v>175</v>
      </c>
      <c r="B866" s="2991" t="s">
        <v>4092</v>
      </c>
      <c r="C866" s="2996">
        <v>134.66</v>
      </c>
      <c r="D866" s="2993" t="s">
        <v>3257</v>
      </c>
      <c r="E866" s="2996">
        <v>7847366</v>
      </c>
    </row>
    <row r="867" spans="1:6" s="2993" customFormat="1" ht="24">
      <c r="A867" s="3204"/>
      <c r="B867" s="2991" t="s">
        <v>4093</v>
      </c>
      <c r="C867" s="2996">
        <v>84.89</v>
      </c>
      <c r="D867" s="2993" t="s">
        <v>4487</v>
      </c>
      <c r="E867" s="2996">
        <v>2546700</v>
      </c>
      <c r="F867" s="2993">
        <f t="shared" ref="F867:F868" si="171">E867/C867</f>
        <v>30000</v>
      </c>
    </row>
    <row r="868" spans="1:6" s="2993" customFormat="1">
      <c r="A868" s="3204"/>
      <c r="B868" s="2991" t="s">
        <v>4094</v>
      </c>
      <c r="C868" s="2996">
        <v>84.29</v>
      </c>
      <c r="D868" s="2993" t="s">
        <v>3252</v>
      </c>
      <c r="E868" s="2996">
        <v>2528700</v>
      </c>
      <c r="F868" s="2993">
        <f t="shared" si="171"/>
        <v>29999.999999999996</v>
      </c>
    </row>
    <row r="869" spans="1:6" s="2993" customFormat="1">
      <c r="A869" s="3204"/>
      <c r="B869" s="2991" t="s">
        <v>4095</v>
      </c>
      <c r="C869" s="2994">
        <v>45.51</v>
      </c>
      <c r="D869" s="2993" t="s">
        <v>3254</v>
      </c>
      <c r="E869" s="3002">
        <v>420000</v>
      </c>
    </row>
    <row r="870" spans="1:6" s="2993" customFormat="1">
      <c r="A870" s="3204"/>
      <c r="B870" s="2991" t="s">
        <v>4096</v>
      </c>
      <c r="C870" s="2994">
        <v>45.51</v>
      </c>
      <c r="D870" s="2993" t="s">
        <v>3254</v>
      </c>
      <c r="E870" s="3002">
        <v>420000</v>
      </c>
    </row>
    <row r="871" spans="1:6" s="2993" customFormat="1">
      <c r="A871" s="3204">
        <v>176</v>
      </c>
      <c r="B871" s="2991" t="s">
        <v>4097</v>
      </c>
      <c r="C871" s="2996">
        <v>134.47</v>
      </c>
      <c r="D871" s="2993" t="s">
        <v>3384</v>
      </c>
      <c r="E871" s="2996">
        <v>8539921</v>
      </c>
    </row>
    <row r="872" spans="1:6" s="2993" customFormat="1" ht="24">
      <c r="A872" s="3204"/>
      <c r="B872" s="2991" t="s">
        <v>4098</v>
      </c>
      <c r="C872" s="2996">
        <v>84.48</v>
      </c>
      <c r="D872" s="2993" t="s">
        <v>4487</v>
      </c>
      <c r="E872" s="2996">
        <v>2534400</v>
      </c>
      <c r="F872" s="2993">
        <f t="shared" ref="F872:F873" si="172">E872/C872</f>
        <v>30000</v>
      </c>
    </row>
    <row r="873" spans="1:6" s="2993" customFormat="1">
      <c r="A873" s="3204"/>
      <c r="B873" s="2991" t="s">
        <v>4099</v>
      </c>
      <c r="C873" s="2996">
        <v>83.57</v>
      </c>
      <c r="D873" s="2993" t="s">
        <v>3379</v>
      </c>
      <c r="E873" s="2996">
        <v>2507100</v>
      </c>
      <c r="F873" s="2993">
        <f t="shared" si="172"/>
        <v>30000.000000000004</v>
      </c>
    </row>
    <row r="874" spans="1:6" s="2993" customFormat="1">
      <c r="A874" s="3204"/>
      <c r="B874" s="2991" t="s">
        <v>4100</v>
      </c>
      <c r="C874" s="2994">
        <v>45.51</v>
      </c>
      <c r="D874" s="2993" t="s">
        <v>3381</v>
      </c>
      <c r="E874" s="3002">
        <v>420000</v>
      </c>
    </row>
    <row r="875" spans="1:6" s="2993" customFormat="1">
      <c r="A875" s="3204"/>
      <c r="B875" s="2991" t="s">
        <v>4101</v>
      </c>
      <c r="C875" s="2994">
        <v>45.51</v>
      </c>
      <c r="D875" s="2993" t="s">
        <v>3381</v>
      </c>
      <c r="E875" s="3002">
        <v>420000</v>
      </c>
    </row>
    <row r="876" spans="1:6" s="2993" customFormat="1">
      <c r="A876" s="3204">
        <v>177</v>
      </c>
      <c r="B876" s="2991" t="s">
        <v>4102</v>
      </c>
      <c r="C876" s="2996">
        <v>134.66</v>
      </c>
      <c r="D876" s="2993" t="s">
        <v>3384</v>
      </c>
      <c r="E876" s="2996">
        <v>8045701</v>
      </c>
    </row>
    <row r="877" spans="1:6" s="2993" customFormat="1" ht="24">
      <c r="A877" s="3204"/>
      <c r="B877" s="2991" t="s">
        <v>4103</v>
      </c>
      <c r="C877" s="2996">
        <v>84.89</v>
      </c>
      <c r="D877" s="2993" t="s">
        <v>4487</v>
      </c>
      <c r="E877" s="2996">
        <v>2546700</v>
      </c>
      <c r="F877" s="2993">
        <f t="shared" ref="F877:F878" si="173">E877/C877</f>
        <v>30000</v>
      </c>
    </row>
    <row r="878" spans="1:6" s="2993" customFormat="1">
      <c r="A878" s="3204"/>
      <c r="B878" s="2991" t="s">
        <v>4104</v>
      </c>
      <c r="C878" s="2996">
        <v>84.29</v>
      </c>
      <c r="D878" s="2993" t="s">
        <v>3379</v>
      </c>
      <c r="E878" s="2996">
        <v>2528700</v>
      </c>
      <c r="F878" s="2993">
        <f t="shared" si="173"/>
        <v>29999.999999999996</v>
      </c>
    </row>
    <row r="879" spans="1:6" s="2993" customFormat="1">
      <c r="A879" s="3204"/>
      <c r="B879" s="2991" t="s">
        <v>4105</v>
      </c>
      <c r="C879" s="2994">
        <v>45.51</v>
      </c>
      <c r="D879" s="2993" t="s">
        <v>3381</v>
      </c>
      <c r="E879" s="3002">
        <v>420000</v>
      </c>
    </row>
    <row r="880" spans="1:6" s="2993" customFormat="1">
      <c r="A880" s="3204"/>
      <c r="B880" s="2991" t="s">
        <v>4106</v>
      </c>
      <c r="C880" s="2994">
        <v>45.51</v>
      </c>
      <c r="D880" s="2993" t="s">
        <v>3381</v>
      </c>
      <c r="E880" s="3002">
        <v>420000</v>
      </c>
    </row>
    <row r="881" spans="1:6" s="2993" customFormat="1">
      <c r="A881" s="3204">
        <v>178</v>
      </c>
      <c r="B881" s="2991" t="s">
        <v>4107</v>
      </c>
      <c r="C881" s="2996">
        <v>134.18</v>
      </c>
      <c r="D881" s="2993" t="s">
        <v>3384</v>
      </c>
      <c r="E881" s="2996">
        <v>8521503</v>
      </c>
    </row>
    <row r="882" spans="1:6" s="2993" customFormat="1" ht="24">
      <c r="A882" s="3204"/>
      <c r="B882" s="2991" t="s">
        <v>4108</v>
      </c>
      <c r="C882" s="2996">
        <v>84.28</v>
      </c>
      <c r="D882" s="2993" t="s">
        <v>4487</v>
      </c>
      <c r="E882" s="2996">
        <v>2528400</v>
      </c>
      <c r="F882" s="2993">
        <f t="shared" ref="F882:F883" si="174">E882/C882</f>
        <v>30000</v>
      </c>
    </row>
    <row r="883" spans="1:6" s="2993" customFormat="1">
      <c r="A883" s="3204"/>
      <c r="B883" s="2991" t="s">
        <v>4109</v>
      </c>
      <c r="C883" s="2996">
        <v>83.43</v>
      </c>
      <c r="D883" s="2993" t="s">
        <v>3379</v>
      </c>
      <c r="E883" s="2996">
        <v>2502900</v>
      </c>
      <c r="F883" s="2993">
        <f t="shared" si="174"/>
        <v>29999.999999999996</v>
      </c>
    </row>
    <row r="884" spans="1:6" s="2993" customFormat="1">
      <c r="A884" s="3204"/>
      <c r="B884" s="2991" t="s">
        <v>4110</v>
      </c>
      <c r="C884" s="2994">
        <v>45.51</v>
      </c>
      <c r="D884" s="2993" t="s">
        <v>3381</v>
      </c>
      <c r="E884" s="3002">
        <v>420000</v>
      </c>
    </row>
    <row r="885" spans="1:6" s="2993" customFormat="1">
      <c r="A885" s="3204"/>
      <c r="B885" s="2991" t="s">
        <v>4111</v>
      </c>
      <c r="C885" s="2994">
        <v>45.51</v>
      </c>
      <c r="D885" s="2993" t="s">
        <v>3381</v>
      </c>
      <c r="E885" s="3002">
        <v>420000</v>
      </c>
    </row>
    <row r="886" spans="1:6" s="2993" customFormat="1">
      <c r="A886" s="3204">
        <v>179</v>
      </c>
      <c r="B886" s="2991" t="s">
        <v>4112</v>
      </c>
      <c r="C886" s="2996">
        <v>134.16999999999999</v>
      </c>
      <c r="D886" s="2993" t="s">
        <v>3384</v>
      </c>
      <c r="E886" s="2996">
        <v>7581417</v>
      </c>
    </row>
    <row r="887" spans="1:6" s="2993" customFormat="1" ht="24">
      <c r="A887" s="3204"/>
      <c r="B887" s="2991" t="s">
        <v>4113</v>
      </c>
      <c r="C887" s="2996">
        <v>84.42</v>
      </c>
      <c r="D887" s="2993" t="s">
        <v>4487</v>
      </c>
      <c r="E887" s="2996">
        <v>2532600</v>
      </c>
      <c r="F887" s="2993">
        <f t="shared" ref="F887:F888" si="175">E887/C887</f>
        <v>30000</v>
      </c>
    </row>
    <row r="888" spans="1:6" s="2993" customFormat="1">
      <c r="A888" s="3204"/>
      <c r="B888" s="2991" t="s">
        <v>4114</v>
      </c>
      <c r="C888" s="2996">
        <v>84.15</v>
      </c>
      <c r="D888" s="2993" t="s">
        <v>3379</v>
      </c>
      <c r="E888" s="2996">
        <v>2524500</v>
      </c>
      <c r="F888" s="2993">
        <f t="shared" si="175"/>
        <v>29999.999999999996</v>
      </c>
    </row>
    <row r="889" spans="1:6" s="2993" customFormat="1">
      <c r="A889" s="3204"/>
      <c r="B889" s="2991" t="s">
        <v>4115</v>
      </c>
      <c r="C889" s="2994">
        <v>45.51</v>
      </c>
      <c r="D889" s="2993" t="s">
        <v>3381</v>
      </c>
      <c r="E889" s="3002">
        <v>420000</v>
      </c>
    </row>
    <row r="890" spans="1:6" s="2993" customFormat="1">
      <c r="A890" s="3204"/>
      <c r="B890" s="2991" t="s">
        <v>4116</v>
      </c>
      <c r="C890" s="2994">
        <v>45.51</v>
      </c>
      <c r="D890" s="2993" t="s">
        <v>3381</v>
      </c>
      <c r="E890" s="3002">
        <v>420000</v>
      </c>
    </row>
    <row r="891" spans="1:6" s="2993" customFormat="1">
      <c r="A891" s="3204">
        <v>180</v>
      </c>
      <c r="B891" s="2991" t="s">
        <v>4117</v>
      </c>
      <c r="C891" s="2996">
        <v>134.36000000000001</v>
      </c>
      <c r="D891" s="2993" t="s">
        <v>3384</v>
      </c>
      <c r="E891" s="2996">
        <v>7711133</v>
      </c>
    </row>
    <row r="892" spans="1:6" s="2993" customFormat="1" ht="24">
      <c r="A892" s="3204"/>
      <c r="B892" s="2991" t="s">
        <v>4118</v>
      </c>
      <c r="C892" s="2996">
        <v>84.7</v>
      </c>
      <c r="D892" s="2993" t="s">
        <v>4487</v>
      </c>
      <c r="E892" s="2996">
        <v>2541000</v>
      </c>
      <c r="F892" s="2993">
        <f t="shared" ref="F892:F893" si="176">E892/C892</f>
        <v>30000</v>
      </c>
    </row>
    <row r="893" spans="1:6" s="2993" customFormat="1">
      <c r="A893" s="3204"/>
      <c r="B893" s="2991" t="s">
        <v>4119</v>
      </c>
      <c r="C893" s="2996">
        <v>84.15</v>
      </c>
      <c r="D893" s="2993" t="s">
        <v>3379</v>
      </c>
      <c r="E893" s="2996">
        <v>2524500</v>
      </c>
      <c r="F893" s="2993">
        <f t="shared" si="176"/>
        <v>29999.999999999996</v>
      </c>
    </row>
    <row r="894" spans="1:6" s="2993" customFormat="1">
      <c r="A894" s="3204"/>
      <c r="B894" s="2991" t="s">
        <v>4120</v>
      </c>
      <c r="C894" s="2994">
        <v>45.51</v>
      </c>
      <c r="D894" s="2993" t="s">
        <v>3381</v>
      </c>
      <c r="E894" s="3002">
        <v>420000</v>
      </c>
    </row>
    <row r="895" spans="1:6" s="2993" customFormat="1">
      <c r="A895" s="3204"/>
      <c r="B895" s="2991" t="s">
        <v>4121</v>
      </c>
      <c r="C895" s="2994">
        <v>45.51</v>
      </c>
      <c r="D895" s="2993" t="s">
        <v>3381</v>
      </c>
      <c r="E895" s="3002">
        <v>420000</v>
      </c>
    </row>
    <row r="896" spans="1:6" s="2993" customFormat="1">
      <c r="A896" s="3204">
        <v>181</v>
      </c>
      <c r="B896" s="2991" t="s">
        <v>4122</v>
      </c>
      <c r="C896" s="2996">
        <v>134.18</v>
      </c>
      <c r="D896" s="2993" t="s">
        <v>3384</v>
      </c>
      <c r="E896" s="2996">
        <v>8521503</v>
      </c>
    </row>
    <row r="897" spans="1:6" s="2993" customFormat="1" ht="24">
      <c r="A897" s="3204"/>
      <c r="B897" s="2991" t="s">
        <v>4123</v>
      </c>
      <c r="C897" s="2996">
        <v>84.28</v>
      </c>
      <c r="D897" s="2993" t="s">
        <v>4487</v>
      </c>
      <c r="E897" s="2996">
        <v>2528400</v>
      </c>
      <c r="F897" s="2993">
        <f t="shared" ref="F897:F898" si="177">E897/C897</f>
        <v>30000</v>
      </c>
    </row>
    <row r="898" spans="1:6" s="2993" customFormat="1">
      <c r="A898" s="3204"/>
      <c r="B898" s="2991" t="s">
        <v>4124</v>
      </c>
      <c r="C898" s="2996">
        <v>83.43</v>
      </c>
      <c r="D898" s="2993" t="s">
        <v>3379</v>
      </c>
      <c r="E898" s="2996">
        <v>2502900</v>
      </c>
      <c r="F898" s="2993">
        <f t="shared" si="177"/>
        <v>29999.999999999996</v>
      </c>
    </row>
    <row r="899" spans="1:6" s="2993" customFormat="1">
      <c r="A899" s="3204"/>
      <c r="B899" s="2991" t="s">
        <v>4125</v>
      </c>
      <c r="C899" s="2994">
        <v>45.51</v>
      </c>
      <c r="D899" s="2993" t="s">
        <v>3381</v>
      </c>
      <c r="E899" s="3002">
        <v>420000</v>
      </c>
    </row>
    <row r="900" spans="1:6" s="2993" customFormat="1">
      <c r="A900" s="3204"/>
      <c r="B900" s="2991" t="s">
        <v>4126</v>
      </c>
      <c r="C900" s="2994">
        <v>45.51</v>
      </c>
      <c r="D900" s="2993" t="s">
        <v>3381</v>
      </c>
      <c r="E900" s="3002">
        <v>420000</v>
      </c>
    </row>
    <row r="901" spans="1:6" s="2993" customFormat="1">
      <c r="A901" s="3204">
        <v>182</v>
      </c>
      <c r="B901" s="2991" t="s">
        <v>4127</v>
      </c>
      <c r="C901" s="2996">
        <v>134.16999999999999</v>
      </c>
      <c r="D901" s="2993" t="s">
        <v>3384</v>
      </c>
      <c r="E901" s="2996">
        <v>7779032</v>
      </c>
    </row>
    <row r="902" spans="1:6" s="2993" customFormat="1" ht="24">
      <c r="A902" s="3204"/>
      <c r="B902" s="2991" t="s">
        <v>4128</v>
      </c>
      <c r="C902" s="2996">
        <v>84.42</v>
      </c>
      <c r="D902" s="2993" t="s">
        <v>4487</v>
      </c>
      <c r="E902" s="2996">
        <v>2532600</v>
      </c>
      <c r="F902" s="2993">
        <f t="shared" ref="F902:F903" si="178">E902/C902</f>
        <v>30000</v>
      </c>
    </row>
    <row r="903" spans="1:6" s="2993" customFormat="1">
      <c r="A903" s="3204"/>
      <c r="B903" s="2991" t="s">
        <v>4129</v>
      </c>
      <c r="C903" s="2996">
        <v>84.15</v>
      </c>
      <c r="D903" s="2993" t="s">
        <v>3379</v>
      </c>
      <c r="E903" s="2996">
        <v>2524500</v>
      </c>
      <c r="F903" s="2993">
        <f t="shared" si="178"/>
        <v>29999.999999999996</v>
      </c>
    </row>
    <row r="904" spans="1:6" s="2993" customFormat="1">
      <c r="A904" s="3204"/>
      <c r="B904" s="2991" t="s">
        <v>4130</v>
      </c>
      <c r="C904" s="2994">
        <v>45.51</v>
      </c>
      <c r="D904" s="2993" t="s">
        <v>3381</v>
      </c>
      <c r="E904" s="3002">
        <v>420000</v>
      </c>
    </row>
    <row r="905" spans="1:6" s="2993" customFormat="1">
      <c r="A905" s="3204"/>
      <c r="B905" s="2991" t="s">
        <v>4131</v>
      </c>
      <c r="C905" s="2994">
        <v>45.51</v>
      </c>
      <c r="D905" s="2993" t="s">
        <v>3381</v>
      </c>
      <c r="E905" s="3002">
        <v>420000</v>
      </c>
    </row>
    <row r="906" spans="1:6" s="2993" customFormat="1">
      <c r="A906" s="3204">
        <v>183</v>
      </c>
      <c r="B906" s="2991" t="s">
        <v>4132</v>
      </c>
      <c r="C906" s="2996">
        <v>134.36000000000001</v>
      </c>
      <c r="D906" s="2993" t="s">
        <v>3384</v>
      </c>
      <c r="E906" s="2996">
        <v>7909047</v>
      </c>
    </row>
    <row r="907" spans="1:6" s="2993" customFormat="1" ht="24">
      <c r="A907" s="3204"/>
      <c r="B907" s="2991" t="s">
        <v>4133</v>
      </c>
      <c r="C907" s="2996">
        <v>84.7</v>
      </c>
      <c r="D907" s="2993" t="s">
        <v>4487</v>
      </c>
      <c r="E907" s="2996">
        <v>2541000</v>
      </c>
      <c r="F907" s="2993">
        <f t="shared" ref="F907:F908" si="179">E907/C907</f>
        <v>30000</v>
      </c>
    </row>
    <row r="908" spans="1:6" s="2993" customFormat="1">
      <c r="A908" s="3204"/>
      <c r="B908" s="2991" t="s">
        <v>4134</v>
      </c>
      <c r="C908" s="2996">
        <v>84.15</v>
      </c>
      <c r="D908" s="2993" t="s">
        <v>3379</v>
      </c>
      <c r="E908" s="2996">
        <v>2524500</v>
      </c>
      <c r="F908" s="2993">
        <f t="shared" si="179"/>
        <v>29999.999999999996</v>
      </c>
    </row>
    <row r="909" spans="1:6" s="2993" customFormat="1">
      <c r="A909" s="3204"/>
      <c r="B909" s="2991" t="s">
        <v>4135</v>
      </c>
      <c r="C909" s="2994">
        <v>45.51</v>
      </c>
      <c r="D909" s="2993" t="s">
        <v>3381</v>
      </c>
      <c r="E909" s="3002">
        <v>420000</v>
      </c>
    </row>
    <row r="910" spans="1:6" s="2993" customFormat="1">
      <c r="A910" s="3204"/>
      <c r="B910" s="2991" t="s">
        <v>4136</v>
      </c>
      <c r="C910" s="2994">
        <v>45.51</v>
      </c>
      <c r="D910" s="2993" t="s">
        <v>3381</v>
      </c>
      <c r="E910" s="3002">
        <v>420000</v>
      </c>
    </row>
    <row r="911" spans="1:6" s="2993" customFormat="1">
      <c r="A911" s="3204">
        <v>184</v>
      </c>
      <c r="B911" s="2991" t="s">
        <v>4137</v>
      </c>
      <c r="C911" s="2996">
        <v>134.34</v>
      </c>
      <c r="D911" s="2993" t="s">
        <v>3384</v>
      </c>
      <c r="E911" s="2996">
        <v>8531665</v>
      </c>
    </row>
    <row r="912" spans="1:6" s="2993" customFormat="1" ht="24">
      <c r="A912" s="3204"/>
      <c r="B912" s="2991" t="s">
        <v>4138</v>
      </c>
      <c r="C912" s="2996">
        <v>84.39</v>
      </c>
      <c r="D912" s="2993" t="s">
        <v>4487</v>
      </c>
      <c r="E912" s="2996">
        <v>2531700</v>
      </c>
      <c r="F912" s="2993">
        <f t="shared" ref="F912:F913" si="180">E912/C912</f>
        <v>30000</v>
      </c>
    </row>
    <row r="913" spans="1:6" s="2993" customFormat="1">
      <c r="A913" s="3204"/>
      <c r="B913" s="2991" t="s">
        <v>4139</v>
      </c>
      <c r="C913" s="2996">
        <v>83.46</v>
      </c>
      <c r="D913" s="2993" t="s">
        <v>3379</v>
      </c>
      <c r="E913" s="2996">
        <v>2503800</v>
      </c>
      <c r="F913" s="2993">
        <f t="shared" si="180"/>
        <v>30000.000000000004</v>
      </c>
    </row>
    <row r="914" spans="1:6" s="2993" customFormat="1">
      <c r="A914" s="3204"/>
      <c r="B914" s="2991" t="s">
        <v>4140</v>
      </c>
      <c r="C914" s="2994">
        <v>45.51</v>
      </c>
      <c r="D914" s="2993" t="s">
        <v>3381</v>
      </c>
      <c r="E914" s="3002">
        <v>420000</v>
      </c>
    </row>
    <row r="915" spans="1:6" s="2993" customFormat="1">
      <c r="A915" s="3204"/>
      <c r="B915" s="2991" t="s">
        <v>4141</v>
      </c>
      <c r="C915" s="2994">
        <v>45.51</v>
      </c>
      <c r="D915" s="2993" t="s">
        <v>3381</v>
      </c>
      <c r="E915" s="3002">
        <v>420000</v>
      </c>
    </row>
    <row r="916" spans="1:6" s="2993" customFormat="1">
      <c r="A916" s="3204">
        <v>185</v>
      </c>
      <c r="B916" s="2991" t="s">
        <v>4142</v>
      </c>
      <c r="C916" s="2996">
        <v>134.34</v>
      </c>
      <c r="D916" s="2993" t="s">
        <v>3384</v>
      </c>
      <c r="E916" s="2996">
        <v>7591145</v>
      </c>
    </row>
    <row r="917" spans="1:6" s="2993" customFormat="1" ht="24">
      <c r="A917" s="3204"/>
      <c r="B917" s="2991" t="s">
        <v>4143</v>
      </c>
      <c r="C917" s="2996">
        <v>84.53</v>
      </c>
      <c r="D917" s="2993" t="s">
        <v>4487</v>
      </c>
      <c r="E917" s="2996">
        <v>2535900</v>
      </c>
      <c r="F917" s="2993">
        <f t="shared" ref="F917:F918" si="181">E917/C917</f>
        <v>30000</v>
      </c>
    </row>
    <row r="918" spans="1:6" s="2993" customFormat="1">
      <c r="A918" s="3204"/>
      <c r="B918" s="2991" t="s">
        <v>4144</v>
      </c>
      <c r="C918" s="2996">
        <v>84.18</v>
      </c>
      <c r="D918" s="2993" t="s">
        <v>3379</v>
      </c>
      <c r="E918" s="2996">
        <v>2525400</v>
      </c>
      <c r="F918" s="2993">
        <f t="shared" si="181"/>
        <v>29999.999999999996</v>
      </c>
    </row>
    <row r="919" spans="1:6" s="2993" customFormat="1">
      <c r="A919" s="3204"/>
      <c r="B919" s="2991" t="s">
        <v>4145</v>
      </c>
      <c r="C919" s="2994">
        <v>45.51</v>
      </c>
      <c r="D919" s="2993" t="s">
        <v>3381</v>
      </c>
      <c r="E919" s="3002">
        <v>420000</v>
      </c>
    </row>
    <row r="920" spans="1:6" s="2993" customFormat="1">
      <c r="A920" s="3204"/>
      <c r="B920" s="2991" t="s">
        <v>4146</v>
      </c>
      <c r="C920" s="2994">
        <v>45.51</v>
      </c>
      <c r="D920" s="2993" t="s">
        <v>3381</v>
      </c>
      <c r="E920" s="3002">
        <v>420000</v>
      </c>
    </row>
    <row r="921" spans="1:6" s="2993" customFormat="1">
      <c r="A921" s="3204">
        <v>186</v>
      </c>
      <c r="B921" s="2991" t="s">
        <v>4147</v>
      </c>
      <c r="C921" s="2996">
        <v>134.54</v>
      </c>
      <c r="D921" s="2993" t="s">
        <v>3384</v>
      </c>
      <c r="E921" s="2996">
        <v>7721494</v>
      </c>
    </row>
    <row r="922" spans="1:6" s="2993" customFormat="1" ht="24">
      <c r="A922" s="3204"/>
      <c r="B922" s="2991" t="s">
        <v>4148</v>
      </c>
      <c r="C922" s="2996">
        <v>84.8</v>
      </c>
      <c r="D922" s="2993" t="s">
        <v>4487</v>
      </c>
      <c r="E922" s="2996">
        <v>2544000</v>
      </c>
      <c r="F922" s="2993">
        <f t="shared" ref="F922:F923" si="182">E922/C922</f>
        <v>30000</v>
      </c>
    </row>
    <row r="923" spans="1:6" s="2993" customFormat="1">
      <c r="A923" s="3204"/>
      <c r="B923" s="2991" t="s">
        <v>4149</v>
      </c>
      <c r="C923" s="2996">
        <v>84.18</v>
      </c>
      <c r="D923" s="2993" t="s">
        <v>3379</v>
      </c>
      <c r="E923" s="2996">
        <v>2525400</v>
      </c>
      <c r="F923" s="2993">
        <f t="shared" si="182"/>
        <v>29999.999999999996</v>
      </c>
    </row>
    <row r="924" spans="1:6" s="2993" customFormat="1">
      <c r="A924" s="3204"/>
      <c r="B924" s="2991" t="s">
        <v>4150</v>
      </c>
      <c r="C924" s="2994">
        <v>45.51</v>
      </c>
      <c r="D924" s="2993" t="s">
        <v>3381</v>
      </c>
      <c r="E924" s="3002">
        <v>420000</v>
      </c>
    </row>
    <row r="925" spans="1:6" s="2993" customFormat="1">
      <c r="A925" s="3204"/>
      <c r="B925" s="2991" t="s">
        <v>4151</v>
      </c>
      <c r="C925" s="2994">
        <v>45.51</v>
      </c>
      <c r="D925" s="2993" t="s">
        <v>3381</v>
      </c>
      <c r="E925" s="3002">
        <v>420000</v>
      </c>
    </row>
    <row r="926" spans="1:6" s="2993" customFormat="1">
      <c r="A926" s="3204">
        <v>187</v>
      </c>
      <c r="B926" s="2991" t="s">
        <v>4152</v>
      </c>
      <c r="C926" s="2996">
        <v>134.34</v>
      </c>
      <c r="D926" s="2993" t="s">
        <v>3384</v>
      </c>
      <c r="E926" s="2996">
        <v>8531665</v>
      </c>
    </row>
    <row r="927" spans="1:6" s="2993" customFormat="1" ht="24">
      <c r="A927" s="3204"/>
      <c r="B927" s="2991" t="s">
        <v>4153</v>
      </c>
      <c r="C927" s="2996">
        <v>84.39</v>
      </c>
      <c r="D927" s="2993" t="s">
        <v>4487</v>
      </c>
      <c r="E927" s="2996">
        <v>2531700</v>
      </c>
      <c r="F927" s="2993">
        <f t="shared" ref="F927:F928" si="183">E927/C927</f>
        <v>30000</v>
      </c>
    </row>
    <row r="928" spans="1:6" s="2993" customFormat="1">
      <c r="A928" s="3204"/>
      <c r="B928" s="2991" t="s">
        <v>4154</v>
      </c>
      <c r="C928" s="2996">
        <v>83.46</v>
      </c>
      <c r="D928" s="2993" t="s">
        <v>3379</v>
      </c>
      <c r="E928" s="2996">
        <v>2503800</v>
      </c>
      <c r="F928" s="2993">
        <f t="shared" si="183"/>
        <v>30000.000000000004</v>
      </c>
    </row>
    <row r="929" spans="1:6" s="2993" customFormat="1">
      <c r="A929" s="3204"/>
      <c r="B929" s="2991" t="s">
        <v>4155</v>
      </c>
      <c r="C929" s="2994">
        <v>45.51</v>
      </c>
      <c r="D929" s="2993" t="s">
        <v>3381</v>
      </c>
      <c r="E929" s="3002">
        <v>420000</v>
      </c>
    </row>
    <row r="930" spans="1:6" s="2993" customFormat="1">
      <c r="A930" s="3204"/>
      <c r="B930" s="2991" t="s">
        <v>4156</v>
      </c>
      <c r="C930" s="2994">
        <v>45.51</v>
      </c>
      <c r="D930" s="2993" t="s">
        <v>3381</v>
      </c>
      <c r="E930" s="3002">
        <v>420000</v>
      </c>
    </row>
    <row r="931" spans="1:6" s="2993" customFormat="1">
      <c r="A931" s="3204">
        <v>188</v>
      </c>
      <c r="B931" s="2991" t="s">
        <v>4157</v>
      </c>
      <c r="C931" s="2996">
        <v>134.34</v>
      </c>
      <c r="D931" s="2993" t="s">
        <v>3384</v>
      </c>
      <c r="E931" s="2996">
        <v>7788978</v>
      </c>
    </row>
    <row r="932" spans="1:6" s="2993" customFormat="1" ht="24">
      <c r="A932" s="3204"/>
      <c r="B932" s="2991" t="s">
        <v>4158</v>
      </c>
      <c r="C932" s="2996">
        <v>84.53</v>
      </c>
      <c r="D932" s="2993" t="s">
        <v>4487</v>
      </c>
      <c r="E932" s="2996">
        <v>2535900</v>
      </c>
      <c r="F932" s="2993">
        <f t="shared" ref="F932:F933" si="184">E932/C932</f>
        <v>30000</v>
      </c>
    </row>
    <row r="933" spans="1:6" s="2993" customFormat="1">
      <c r="A933" s="3204"/>
      <c r="B933" s="2991" t="s">
        <v>4159</v>
      </c>
      <c r="C933" s="2996">
        <v>84.18</v>
      </c>
      <c r="D933" s="2993" t="s">
        <v>3379</v>
      </c>
      <c r="E933" s="2996">
        <v>2525400</v>
      </c>
      <c r="F933" s="2993">
        <f t="shared" si="184"/>
        <v>29999.999999999996</v>
      </c>
    </row>
    <row r="934" spans="1:6" s="2993" customFormat="1">
      <c r="A934" s="3204"/>
      <c r="B934" s="2991" t="s">
        <v>4160</v>
      </c>
      <c r="C934" s="2994">
        <v>45.51</v>
      </c>
      <c r="D934" s="2993" t="s">
        <v>3381</v>
      </c>
      <c r="E934" s="3002">
        <v>420000</v>
      </c>
    </row>
    <row r="935" spans="1:6" s="2993" customFormat="1">
      <c r="A935" s="3204"/>
      <c r="B935" s="2991" t="s">
        <v>4161</v>
      </c>
      <c r="C935" s="2994">
        <v>45.51</v>
      </c>
      <c r="D935" s="2993" t="s">
        <v>3381</v>
      </c>
      <c r="E935" s="3002">
        <v>420000</v>
      </c>
    </row>
    <row r="936" spans="1:6" s="2993" customFormat="1">
      <c r="A936" s="3204">
        <v>189</v>
      </c>
      <c r="B936" s="2991" t="s">
        <v>4162</v>
      </c>
      <c r="C936" s="2996">
        <v>134.54</v>
      </c>
      <c r="D936" s="2993" t="s">
        <v>3384</v>
      </c>
      <c r="E936" s="2996">
        <v>7919630</v>
      </c>
    </row>
    <row r="937" spans="1:6" s="2993" customFormat="1" ht="24">
      <c r="A937" s="3204"/>
      <c r="B937" s="2991" t="s">
        <v>4163</v>
      </c>
      <c r="C937" s="2996">
        <v>84.8</v>
      </c>
      <c r="D937" s="2993" t="s">
        <v>4487</v>
      </c>
      <c r="E937" s="2996">
        <v>2544000</v>
      </c>
      <c r="F937" s="2993">
        <f t="shared" ref="F937:F938" si="185">E937/C937</f>
        <v>30000</v>
      </c>
    </row>
    <row r="938" spans="1:6" s="2993" customFormat="1">
      <c r="A938" s="3204"/>
      <c r="B938" s="2991" t="s">
        <v>4164</v>
      </c>
      <c r="C938" s="2996">
        <v>84.18</v>
      </c>
      <c r="D938" s="2993" t="s">
        <v>3379</v>
      </c>
      <c r="E938" s="2996">
        <v>2525400</v>
      </c>
      <c r="F938" s="2993">
        <f t="shared" si="185"/>
        <v>29999.999999999996</v>
      </c>
    </row>
    <row r="939" spans="1:6" s="2993" customFormat="1">
      <c r="A939" s="3204"/>
      <c r="B939" s="2991" t="s">
        <v>4165</v>
      </c>
      <c r="C939" s="2994">
        <v>45.51</v>
      </c>
      <c r="D939" s="2993" t="s">
        <v>3381</v>
      </c>
      <c r="E939" s="3002">
        <v>420000</v>
      </c>
    </row>
    <row r="940" spans="1:6" s="2993" customFormat="1">
      <c r="A940" s="3204"/>
      <c r="B940" s="2991" t="s">
        <v>4166</v>
      </c>
      <c r="C940" s="2994">
        <v>45.51</v>
      </c>
      <c r="D940" s="2993" t="s">
        <v>3381</v>
      </c>
      <c r="E940" s="3002">
        <v>420000</v>
      </c>
    </row>
    <row r="941" spans="1:6" s="2993" customFormat="1">
      <c r="A941" s="3204">
        <v>190</v>
      </c>
      <c r="B941" s="2991" t="s">
        <v>4167</v>
      </c>
      <c r="C941" s="2999">
        <v>134.63999999999999</v>
      </c>
      <c r="D941" s="2993" t="s">
        <v>3384</v>
      </c>
      <c r="E941" s="2996">
        <v>8550717</v>
      </c>
    </row>
    <row r="942" spans="1:6" s="2993" customFormat="1" ht="24">
      <c r="A942" s="3204"/>
      <c r="B942" s="2991" t="s">
        <v>4168</v>
      </c>
      <c r="C942" s="2996">
        <v>84.58</v>
      </c>
      <c r="D942" s="2993" t="s">
        <v>4487</v>
      </c>
      <c r="E942" s="2996">
        <v>2537400</v>
      </c>
      <c r="F942" s="2993">
        <f t="shared" ref="F942:F943" si="186">E942/C942</f>
        <v>30000</v>
      </c>
    </row>
    <row r="943" spans="1:6" s="2993" customFormat="1">
      <c r="A943" s="3204"/>
      <c r="B943" s="2991" t="s">
        <v>4169</v>
      </c>
      <c r="C943" s="2996">
        <v>83.6</v>
      </c>
      <c r="D943" s="2993" t="s">
        <v>3252</v>
      </c>
      <c r="E943" s="2996">
        <v>2508000</v>
      </c>
      <c r="F943" s="2993">
        <f t="shared" si="186"/>
        <v>30000.000000000004</v>
      </c>
    </row>
    <row r="944" spans="1:6" s="2993" customFormat="1">
      <c r="A944" s="3204"/>
      <c r="B944" s="2991" t="s">
        <v>4170</v>
      </c>
      <c r="C944" s="2994">
        <v>45.51</v>
      </c>
      <c r="D944" s="2993" t="s">
        <v>3254</v>
      </c>
      <c r="E944" s="3002">
        <v>420000</v>
      </c>
    </row>
    <row r="945" spans="1:6" s="2993" customFormat="1">
      <c r="A945" s="3204"/>
      <c r="B945" s="2991" t="s">
        <v>4171</v>
      </c>
      <c r="C945" s="2994">
        <v>45.51</v>
      </c>
      <c r="D945" s="2993" t="s">
        <v>3254</v>
      </c>
      <c r="E945" s="3002">
        <v>420000</v>
      </c>
    </row>
    <row r="946" spans="1:6" s="2993" customFormat="1">
      <c r="A946" s="3204">
        <v>191</v>
      </c>
      <c r="B946" s="2991" t="s">
        <v>4172</v>
      </c>
      <c r="C946" s="2996">
        <v>134.83000000000001</v>
      </c>
      <c r="D946" s="2993" t="s">
        <v>3257</v>
      </c>
      <c r="E946" s="2996">
        <v>7857276</v>
      </c>
    </row>
    <row r="947" spans="1:6" s="2993" customFormat="1" ht="24">
      <c r="A947" s="3204"/>
      <c r="B947" s="2991" t="s">
        <v>4173</v>
      </c>
      <c r="C947" s="2996">
        <v>85</v>
      </c>
      <c r="D947" s="2993" t="s">
        <v>4487</v>
      </c>
      <c r="E947" s="2996">
        <v>2550000</v>
      </c>
      <c r="F947" s="2993">
        <f t="shared" ref="F947:F948" si="187">E947/C947</f>
        <v>30000</v>
      </c>
    </row>
    <row r="948" spans="1:6" s="2993" customFormat="1">
      <c r="A948" s="3204"/>
      <c r="B948" s="2991" t="s">
        <v>4174</v>
      </c>
      <c r="C948" s="2996">
        <v>84.32</v>
      </c>
      <c r="D948" s="2993" t="s">
        <v>3252</v>
      </c>
      <c r="E948" s="2996">
        <v>2529600</v>
      </c>
      <c r="F948" s="2993">
        <f t="shared" si="187"/>
        <v>30000.000000000004</v>
      </c>
    </row>
    <row r="949" spans="1:6" s="2993" customFormat="1">
      <c r="A949" s="3204"/>
      <c r="B949" s="2991" t="s">
        <v>4175</v>
      </c>
      <c r="C949" s="2994">
        <v>45.51</v>
      </c>
      <c r="D949" s="2993" t="s">
        <v>3254</v>
      </c>
      <c r="E949" s="3002">
        <v>420000</v>
      </c>
    </row>
    <row r="950" spans="1:6" s="2993" customFormat="1">
      <c r="A950" s="3204"/>
      <c r="B950" s="2991" t="s">
        <v>4176</v>
      </c>
      <c r="C950" s="2994">
        <v>45.51</v>
      </c>
      <c r="D950" s="2993" t="s">
        <v>3254</v>
      </c>
      <c r="E950" s="3002">
        <v>420000</v>
      </c>
    </row>
    <row r="951" spans="1:6" s="2993" customFormat="1">
      <c r="A951" s="3204">
        <v>192</v>
      </c>
      <c r="B951" s="2991" t="s">
        <v>4177</v>
      </c>
      <c r="C951" s="2996">
        <v>134.63999999999999</v>
      </c>
      <c r="D951" s="2993" t="s">
        <v>3257</v>
      </c>
      <c r="E951" s="2996">
        <v>8550717</v>
      </c>
    </row>
    <row r="952" spans="1:6" s="2993" customFormat="1" ht="24">
      <c r="A952" s="3204"/>
      <c r="B952" s="2991" t="s">
        <v>4178</v>
      </c>
      <c r="C952" s="2996">
        <v>84.58</v>
      </c>
      <c r="D952" s="2993" t="s">
        <v>4487</v>
      </c>
      <c r="E952" s="2996">
        <v>2537400</v>
      </c>
      <c r="F952" s="2993">
        <f t="shared" ref="F952:F953" si="188">E952/C952</f>
        <v>30000</v>
      </c>
    </row>
    <row r="953" spans="1:6" s="2993" customFormat="1">
      <c r="A953" s="3204"/>
      <c r="B953" s="2991" t="s">
        <v>4179</v>
      </c>
      <c r="C953" s="2996">
        <v>83.6</v>
      </c>
      <c r="D953" s="2993" t="s">
        <v>3252</v>
      </c>
      <c r="E953" s="2996">
        <v>2508000</v>
      </c>
      <c r="F953" s="2993">
        <f t="shared" si="188"/>
        <v>30000.000000000004</v>
      </c>
    </row>
    <row r="954" spans="1:6" s="2993" customFormat="1">
      <c r="A954" s="3204"/>
      <c r="B954" s="2991" t="s">
        <v>4180</v>
      </c>
      <c r="C954" s="2994">
        <v>45.51</v>
      </c>
      <c r="D954" s="2993" t="s">
        <v>3254</v>
      </c>
      <c r="E954" s="3002">
        <v>420000</v>
      </c>
    </row>
    <row r="955" spans="1:6" s="2993" customFormat="1">
      <c r="A955" s="3204"/>
      <c r="B955" s="2991" t="s">
        <v>4181</v>
      </c>
      <c r="C955" s="2994">
        <v>45.51</v>
      </c>
      <c r="D955" s="2993" t="s">
        <v>3254</v>
      </c>
      <c r="E955" s="3002">
        <v>420000</v>
      </c>
    </row>
    <row r="956" spans="1:6" s="2993" customFormat="1">
      <c r="A956" s="3204">
        <v>193</v>
      </c>
      <c r="B956" s="2991" t="s">
        <v>4182</v>
      </c>
      <c r="C956" s="2996">
        <v>134.83000000000001</v>
      </c>
      <c r="D956" s="2993" t="s">
        <v>3257</v>
      </c>
      <c r="E956" s="2996">
        <v>8055829</v>
      </c>
    </row>
    <row r="957" spans="1:6" s="2993" customFormat="1" ht="24">
      <c r="A957" s="3204"/>
      <c r="B957" s="2991" t="s">
        <v>4183</v>
      </c>
      <c r="C957" s="2996">
        <v>85</v>
      </c>
      <c r="D957" s="2993" t="s">
        <v>4487</v>
      </c>
      <c r="E957" s="2996">
        <v>2550000</v>
      </c>
      <c r="F957" s="2993">
        <f t="shared" ref="F957:F958" si="189">E957/C957</f>
        <v>30000</v>
      </c>
    </row>
    <row r="958" spans="1:6" s="2993" customFormat="1">
      <c r="A958" s="3204"/>
      <c r="B958" s="2991" t="s">
        <v>4184</v>
      </c>
      <c r="C958" s="2996">
        <v>84.32</v>
      </c>
      <c r="D958" s="2993" t="s">
        <v>3252</v>
      </c>
      <c r="E958" s="2996">
        <v>2529600</v>
      </c>
      <c r="F958" s="2993">
        <f t="shared" si="189"/>
        <v>30000.000000000004</v>
      </c>
    </row>
    <row r="959" spans="1:6" s="2993" customFormat="1">
      <c r="A959" s="3204"/>
      <c r="B959" s="2991" t="s">
        <v>4185</v>
      </c>
      <c r="C959" s="2994">
        <v>45.51</v>
      </c>
      <c r="D959" s="2993" t="s">
        <v>3254</v>
      </c>
      <c r="E959" s="3002">
        <v>420000</v>
      </c>
    </row>
    <row r="960" spans="1:6" s="2993" customFormat="1">
      <c r="A960" s="3204"/>
      <c r="B960" s="2991" t="s">
        <v>4186</v>
      </c>
      <c r="C960" s="2994">
        <v>45.51</v>
      </c>
      <c r="D960" s="2993" t="s">
        <v>3254</v>
      </c>
      <c r="E960" s="3002">
        <v>420000</v>
      </c>
    </row>
    <row r="961" spans="1:6" s="2993" customFormat="1">
      <c r="A961" s="3204">
        <v>194</v>
      </c>
      <c r="B961" s="2991" t="s">
        <v>4187</v>
      </c>
      <c r="C961" s="2996">
        <v>134.19999999999999</v>
      </c>
      <c r="D961" s="2993" t="s">
        <v>3257</v>
      </c>
      <c r="E961" s="2996">
        <v>8522774</v>
      </c>
    </row>
    <row r="962" spans="1:6" s="2993" customFormat="1" ht="24">
      <c r="A962" s="3204"/>
      <c r="B962" s="2991" t="s">
        <v>4188</v>
      </c>
      <c r="C962" s="2996">
        <v>84.31</v>
      </c>
      <c r="D962" s="2993" t="s">
        <v>4487</v>
      </c>
      <c r="E962" s="2996">
        <v>2529300</v>
      </c>
      <c r="F962" s="2993">
        <f t="shared" ref="F962:F963" si="190">E962/C962</f>
        <v>30000</v>
      </c>
    </row>
    <row r="963" spans="1:6" s="2993" customFormat="1">
      <c r="A963" s="3204"/>
      <c r="B963" s="2991" t="s">
        <v>4189</v>
      </c>
      <c r="C963" s="2996">
        <v>83.44</v>
      </c>
      <c r="D963" s="2993" t="s">
        <v>3252</v>
      </c>
      <c r="E963" s="2996">
        <v>2503200</v>
      </c>
      <c r="F963" s="2993">
        <f t="shared" si="190"/>
        <v>30000</v>
      </c>
    </row>
    <row r="964" spans="1:6" s="2993" customFormat="1">
      <c r="A964" s="3204"/>
      <c r="B964" s="2991" t="s">
        <v>4190</v>
      </c>
      <c r="C964" s="2994">
        <v>45.51</v>
      </c>
      <c r="D964" s="2993" t="s">
        <v>3254</v>
      </c>
      <c r="E964" s="3002">
        <v>420000</v>
      </c>
    </row>
    <row r="965" spans="1:6" s="2993" customFormat="1">
      <c r="A965" s="3204"/>
      <c r="B965" s="2991" t="s">
        <v>4191</v>
      </c>
      <c r="C965" s="2994">
        <v>45.51</v>
      </c>
      <c r="D965" s="2993" t="s">
        <v>3254</v>
      </c>
      <c r="E965" s="3002">
        <v>420000</v>
      </c>
    </row>
    <row r="966" spans="1:6" s="2993" customFormat="1">
      <c r="A966" s="3204">
        <v>195</v>
      </c>
      <c r="B966" s="2991" t="s">
        <v>4192</v>
      </c>
      <c r="C966" s="2996">
        <v>134.19999999999999</v>
      </c>
      <c r="D966" s="2993" t="s">
        <v>3257</v>
      </c>
      <c r="E966" s="2996">
        <v>7701718</v>
      </c>
    </row>
    <row r="967" spans="1:6" s="2993" customFormat="1" ht="24">
      <c r="A967" s="3204"/>
      <c r="B967" s="2991" t="s">
        <v>4193</v>
      </c>
      <c r="C967" s="2996">
        <v>84.44</v>
      </c>
      <c r="D967" s="2993" t="s">
        <v>4487</v>
      </c>
      <c r="E967" s="2996">
        <v>2533200</v>
      </c>
      <c r="F967" s="2993">
        <f t="shared" ref="F967:F968" si="191">E967/C967</f>
        <v>30000</v>
      </c>
    </row>
    <row r="968" spans="1:6" s="2993" customFormat="1">
      <c r="A968" s="3204"/>
      <c r="B968" s="2991" t="s">
        <v>4194</v>
      </c>
      <c r="C968" s="2996">
        <v>84.16</v>
      </c>
      <c r="D968" s="2993" t="s">
        <v>3252</v>
      </c>
      <c r="E968" s="2996">
        <v>2524800</v>
      </c>
      <c r="F968" s="2993">
        <f t="shared" si="191"/>
        <v>30000</v>
      </c>
    </row>
    <row r="969" spans="1:6" s="2993" customFormat="1">
      <c r="A969" s="3204"/>
      <c r="B969" s="2991" t="s">
        <v>4195</v>
      </c>
      <c r="C969" s="2994">
        <v>45.51</v>
      </c>
      <c r="D969" s="2993" t="s">
        <v>3254</v>
      </c>
      <c r="E969" s="3002">
        <v>420000</v>
      </c>
    </row>
    <row r="970" spans="1:6" s="2993" customFormat="1">
      <c r="A970" s="3204"/>
      <c r="B970" s="2991" t="s">
        <v>4196</v>
      </c>
      <c r="C970" s="2994">
        <v>45.51</v>
      </c>
      <c r="D970" s="2993" t="s">
        <v>3254</v>
      </c>
      <c r="E970" s="3002">
        <v>420000</v>
      </c>
    </row>
    <row r="971" spans="1:6" s="2993" customFormat="1">
      <c r="A971" s="3204">
        <v>196</v>
      </c>
      <c r="B971" s="2991" t="s">
        <v>4197</v>
      </c>
      <c r="C971" s="2996">
        <v>134.38999999999999</v>
      </c>
      <c r="D971" s="2993" t="s">
        <v>3257</v>
      </c>
      <c r="E971" s="2996">
        <v>7831630</v>
      </c>
    </row>
    <row r="972" spans="1:6" s="2993" customFormat="1" ht="24">
      <c r="A972" s="3204"/>
      <c r="B972" s="2991" t="s">
        <v>4198</v>
      </c>
      <c r="C972" s="2996">
        <v>84.72</v>
      </c>
      <c r="D972" s="2993" t="s">
        <v>4487</v>
      </c>
      <c r="E972" s="2996">
        <v>2541600</v>
      </c>
      <c r="F972" s="2993">
        <f t="shared" ref="F972:F973" si="192">E972/C972</f>
        <v>30000</v>
      </c>
    </row>
    <row r="973" spans="1:6" s="2993" customFormat="1">
      <c r="A973" s="3204"/>
      <c r="B973" s="2991" t="s">
        <v>4199</v>
      </c>
      <c r="C973" s="2996">
        <v>84.16</v>
      </c>
      <c r="D973" s="2993" t="s">
        <v>3252</v>
      </c>
      <c r="E973" s="2996">
        <v>2524800</v>
      </c>
      <c r="F973" s="2993">
        <f t="shared" si="192"/>
        <v>30000</v>
      </c>
    </row>
    <row r="974" spans="1:6" s="2993" customFormat="1">
      <c r="A974" s="3204"/>
      <c r="B974" s="2991" t="s">
        <v>4200</v>
      </c>
      <c r="C974" s="2994">
        <v>45.51</v>
      </c>
      <c r="D974" s="2993" t="s">
        <v>3254</v>
      </c>
      <c r="E974" s="3002">
        <v>420000</v>
      </c>
    </row>
    <row r="975" spans="1:6" s="2993" customFormat="1">
      <c r="A975" s="3204"/>
      <c r="B975" s="2991" t="s">
        <v>4201</v>
      </c>
      <c r="C975" s="2994">
        <v>45.51</v>
      </c>
      <c r="D975" s="2993" t="s">
        <v>3254</v>
      </c>
      <c r="E975" s="3002">
        <v>420000</v>
      </c>
    </row>
    <row r="976" spans="1:6" s="2993" customFormat="1">
      <c r="A976" s="3204">
        <v>197</v>
      </c>
      <c r="B976" s="2991" t="s">
        <v>4202</v>
      </c>
      <c r="C976" s="2996">
        <v>134.19999999999999</v>
      </c>
      <c r="D976" s="2993" t="s">
        <v>3257</v>
      </c>
      <c r="E976" s="2996">
        <v>8522774</v>
      </c>
    </row>
    <row r="977" spans="1:6" s="2993" customFormat="1" ht="24">
      <c r="A977" s="3204"/>
      <c r="B977" s="2991" t="s">
        <v>4203</v>
      </c>
      <c r="C977" s="2996">
        <v>84.31</v>
      </c>
      <c r="D977" s="2993" t="s">
        <v>4487</v>
      </c>
      <c r="E977" s="2996">
        <v>2529300</v>
      </c>
      <c r="F977" s="2993">
        <f t="shared" ref="F977:F978" si="193">E977/C977</f>
        <v>30000</v>
      </c>
    </row>
    <row r="978" spans="1:6" s="2993" customFormat="1">
      <c r="A978" s="3204"/>
      <c r="B978" s="2991" t="s">
        <v>4204</v>
      </c>
      <c r="C978" s="2996">
        <v>83.44</v>
      </c>
      <c r="D978" s="2993" t="s">
        <v>3252</v>
      </c>
      <c r="E978" s="2996">
        <v>2503200</v>
      </c>
      <c r="F978" s="2993">
        <f t="shared" si="193"/>
        <v>30000</v>
      </c>
    </row>
    <row r="979" spans="1:6" s="2993" customFormat="1">
      <c r="A979" s="3204"/>
      <c r="B979" s="2991" t="s">
        <v>4205</v>
      </c>
      <c r="C979" s="2994">
        <v>45.51</v>
      </c>
      <c r="D979" s="2993" t="s">
        <v>3254</v>
      </c>
      <c r="E979" s="3002">
        <v>420000</v>
      </c>
    </row>
    <row r="980" spans="1:6" s="2993" customFormat="1">
      <c r="A980" s="3204"/>
      <c r="B980" s="2991" t="s">
        <v>4206</v>
      </c>
      <c r="C980" s="2994">
        <v>45.51</v>
      </c>
      <c r="D980" s="2993" t="s">
        <v>3254</v>
      </c>
      <c r="E980" s="3002">
        <v>420000</v>
      </c>
    </row>
    <row r="981" spans="1:6" s="2993" customFormat="1">
      <c r="A981" s="3204">
        <v>198</v>
      </c>
      <c r="B981" s="2991" t="s">
        <v>4207</v>
      </c>
      <c r="C981" s="2996">
        <v>134.19999999999999</v>
      </c>
      <c r="D981" s="2993" t="s">
        <v>3257</v>
      </c>
      <c r="E981" s="2996">
        <v>7899375</v>
      </c>
    </row>
    <row r="982" spans="1:6" s="2993" customFormat="1" ht="24">
      <c r="A982" s="3204"/>
      <c r="B982" s="2991" t="s">
        <v>4208</v>
      </c>
      <c r="C982" s="2996">
        <v>84.44</v>
      </c>
      <c r="D982" s="2993" t="s">
        <v>4487</v>
      </c>
      <c r="E982" s="2996">
        <v>2533200</v>
      </c>
      <c r="F982" s="2993">
        <f t="shared" ref="F982:F983" si="194">E982/C982</f>
        <v>30000</v>
      </c>
    </row>
    <row r="983" spans="1:6" s="2993" customFormat="1">
      <c r="A983" s="3204"/>
      <c r="B983" s="2991" t="s">
        <v>4209</v>
      </c>
      <c r="C983" s="2996">
        <v>84.16</v>
      </c>
      <c r="D983" s="2993" t="s">
        <v>3252</v>
      </c>
      <c r="E983" s="2996">
        <v>2524800</v>
      </c>
      <c r="F983" s="2993">
        <f t="shared" si="194"/>
        <v>30000</v>
      </c>
    </row>
    <row r="984" spans="1:6" s="2993" customFormat="1">
      <c r="A984" s="3204"/>
      <c r="B984" s="2991" t="s">
        <v>4210</v>
      </c>
      <c r="C984" s="2994">
        <v>45.51</v>
      </c>
      <c r="D984" s="2993" t="s">
        <v>3254</v>
      </c>
      <c r="E984" s="3002">
        <v>420000</v>
      </c>
    </row>
    <row r="985" spans="1:6" s="2993" customFormat="1">
      <c r="A985" s="3204"/>
      <c r="B985" s="2991" t="s">
        <v>4211</v>
      </c>
      <c r="C985" s="2994">
        <v>45.51</v>
      </c>
      <c r="D985" s="2993" t="s">
        <v>3254</v>
      </c>
      <c r="E985" s="3002">
        <v>420000</v>
      </c>
    </row>
    <row r="986" spans="1:6" s="2993" customFormat="1">
      <c r="A986" s="3204">
        <v>199</v>
      </c>
      <c r="B986" s="2991" t="s">
        <v>4212</v>
      </c>
      <c r="C986" s="2996">
        <v>134.38999999999999</v>
      </c>
      <c r="D986" s="2993" t="s">
        <v>3257</v>
      </c>
      <c r="E986" s="2996">
        <v>8029585</v>
      </c>
    </row>
    <row r="987" spans="1:6" s="2993" customFormat="1" ht="24">
      <c r="A987" s="3204"/>
      <c r="B987" s="2991" t="s">
        <v>4213</v>
      </c>
      <c r="C987" s="2996">
        <v>84.72</v>
      </c>
      <c r="D987" s="2993" t="s">
        <v>4487</v>
      </c>
      <c r="E987" s="2996">
        <v>2541600</v>
      </c>
      <c r="F987" s="2993">
        <f t="shared" ref="F987:F988" si="195">E987/C987</f>
        <v>30000</v>
      </c>
    </row>
    <row r="988" spans="1:6" s="2993" customFormat="1">
      <c r="A988" s="3204"/>
      <c r="B988" s="2991" t="s">
        <v>4214</v>
      </c>
      <c r="C988" s="2996">
        <v>84.16</v>
      </c>
      <c r="D988" s="2993" t="s">
        <v>3252</v>
      </c>
      <c r="E988" s="2996">
        <v>2524800</v>
      </c>
      <c r="F988" s="2993">
        <f t="shared" si="195"/>
        <v>30000</v>
      </c>
    </row>
    <row r="989" spans="1:6" s="2993" customFormat="1">
      <c r="A989" s="3204"/>
      <c r="B989" s="2991" t="s">
        <v>4215</v>
      </c>
      <c r="C989" s="2994">
        <v>45.51</v>
      </c>
      <c r="D989" s="2993" t="s">
        <v>3254</v>
      </c>
      <c r="E989" s="3002">
        <v>420000</v>
      </c>
    </row>
    <row r="990" spans="1:6" s="2993" customFormat="1">
      <c r="A990" s="3204"/>
      <c r="B990" s="2991" t="s">
        <v>4216</v>
      </c>
      <c r="C990" s="2994">
        <v>45.51</v>
      </c>
      <c r="D990" s="2993" t="s">
        <v>3254</v>
      </c>
      <c r="E990" s="3002">
        <v>420000</v>
      </c>
    </row>
    <row r="991" spans="1:6" s="2993" customFormat="1">
      <c r="A991" s="3204">
        <v>200</v>
      </c>
      <c r="B991" s="2991" t="s">
        <v>4217</v>
      </c>
      <c r="C991" s="2999">
        <v>134.66</v>
      </c>
      <c r="D991" s="2993" t="s">
        <v>3257</v>
      </c>
      <c r="E991" s="2996">
        <v>8551987</v>
      </c>
    </row>
    <row r="992" spans="1:6" s="2993" customFormat="1" ht="24">
      <c r="A992" s="3204"/>
      <c r="B992" s="2991" t="s">
        <v>4218</v>
      </c>
      <c r="C992" s="2996">
        <v>84.6</v>
      </c>
      <c r="D992" s="2993" t="s">
        <v>4487</v>
      </c>
      <c r="E992" s="2996">
        <v>2538000</v>
      </c>
      <c r="F992" s="2993">
        <f t="shared" ref="F992:F993" si="196">E992/C992</f>
        <v>30000.000000000004</v>
      </c>
    </row>
    <row r="993" spans="1:6" s="2993" customFormat="1">
      <c r="A993" s="3204"/>
      <c r="B993" s="2991" t="s">
        <v>4219</v>
      </c>
      <c r="C993" s="2996">
        <v>83.61</v>
      </c>
      <c r="D993" s="2993" t="s">
        <v>3252</v>
      </c>
      <c r="E993" s="2996">
        <v>2508300</v>
      </c>
      <c r="F993" s="2993">
        <f t="shared" si="196"/>
        <v>30000</v>
      </c>
    </row>
    <row r="994" spans="1:6" s="2993" customFormat="1">
      <c r="A994" s="3204"/>
      <c r="B994" s="2991" t="s">
        <v>4220</v>
      </c>
      <c r="C994" s="2994">
        <v>45.51</v>
      </c>
      <c r="D994" s="2993" t="s">
        <v>3254</v>
      </c>
      <c r="E994" s="3002">
        <v>420000</v>
      </c>
    </row>
    <row r="995" spans="1:6" s="2993" customFormat="1">
      <c r="A995" s="3204"/>
      <c r="B995" s="2991" t="s">
        <v>4221</v>
      </c>
      <c r="C995" s="2994">
        <v>45.51</v>
      </c>
      <c r="D995" s="2993" t="s">
        <v>3254</v>
      </c>
      <c r="E995" s="3002">
        <v>420000</v>
      </c>
    </row>
    <row r="996" spans="1:6" s="2993" customFormat="1">
      <c r="A996" s="3204">
        <v>201</v>
      </c>
      <c r="B996" s="2991" t="s">
        <v>4222</v>
      </c>
      <c r="C996" s="2996">
        <v>134.86000000000001</v>
      </c>
      <c r="D996" s="2993" t="s">
        <v>3257</v>
      </c>
      <c r="E996" s="2996">
        <v>7739872</v>
      </c>
    </row>
    <row r="997" spans="1:6" s="2993" customFormat="1" ht="24">
      <c r="A997" s="3204"/>
      <c r="B997" s="2991" t="s">
        <v>4223</v>
      </c>
      <c r="C997" s="2996">
        <v>85.01</v>
      </c>
      <c r="D997" s="2993" t="s">
        <v>4487</v>
      </c>
      <c r="E997" s="2996">
        <v>2550300</v>
      </c>
      <c r="F997" s="2993">
        <f t="shared" ref="F997:F998" si="197">E997/C997</f>
        <v>30000</v>
      </c>
    </row>
    <row r="998" spans="1:6" s="2993" customFormat="1">
      <c r="A998" s="3204"/>
      <c r="B998" s="2991" t="s">
        <v>4224</v>
      </c>
      <c r="C998" s="2996">
        <v>84.33</v>
      </c>
      <c r="D998" s="2993" t="s">
        <v>3252</v>
      </c>
      <c r="E998" s="2996">
        <v>2529900</v>
      </c>
      <c r="F998" s="2993">
        <f t="shared" si="197"/>
        <v>30000</v>
      </c>
    </row>
    <row r="999" spans="1:6" s="2993" customFormat="1">
      <c r="A999" s="3204"/>
      <c r="B999" s="2991" t="s">
        <v>4225</v>
      </c>
      <c r="C999" s="2994">
        <v>45.51</v>
      </c>
      <c r="D999" s="2993" t="s">
        <v>3254</v>
      </c>
      <c r="E999" s="3002">
        <v>420000</v>
      </c>
    </row>
    <row r="1000" spans="1:6" s="2993" customFormat="1">
      <c r="A1000" s="3204"/>
      <c r="B1000" s="2991" t="s">
        <v>4226</v>
      </c>
      <c r="C1000" s="2994">
        <v>45.51</v>
      </c>
      <c r="D1000" s="2993" t="s">
        <v>3254</v>
      </c>
      <c r="E1000" s="3002">
        <v>420000</v>
      </c>
    </row>
    <row r="1001" spans="1:6" s="2993" customFormat="1">
      <c r="A1001" s="3204">
        <v>202</v>
      </c>
      <c r="B1001" s="2991" t="s">
        <v>4227</v>
      </c>
      <c r="C1001" s="2996">
        <v>134.66</v>
      </c>
      <c r="D1001" s="2993" t="s">
        <v>3257</v>
      </c>
      <c r="E1001" s="2996">
        <v>8551987</v>
      </c>
    </row>
    <row r="1002" spans="1:6" s="2993" customFormat="1" ht="24">
      <c r="A1002" s="3204"/>
      <c r="B1002" s="2991" t="s">
        <v>4228</v>
      </c>
      <c r="C1002" s="2996">
        <v>84.6</v>
      </c>
      <c r="D1002" s="2993" t="s">
        <v>4487</v>
      </c>
      <c r="E1002" s="2996">
        <v>2538000</v>
      </c>
      <c r="F1002" s="2993">
        <f t="shared" ref="F1002:F1003" si="198">E1002/C1002</f>
        <v>30000.000000000004</v>
      </c>
    </row>
    <row r="1003" spans="1:6" s="2993" customFormat="1">
      <c r="A1003" s="3204"/>
      <c r="B1003" s="2991" t="s">
        <v>4229</v>
      </c>
      <c r="C1003" s="2996">
        <v>83.61</v>
      </c>
      <c r="D1003" s="2993" t="s">
        <v>3252</v>
      </c>
      <c r="E1003" s="2996">
        <v>2508300</v>
      </c>
      <c r="F1003" s="2993">
        <f t="shared" si="198"/>
        <v>30000</v>
      </c>
    </row>
    <row r="1004" spans="1:6" s="2993" customFormat="1">
      <c r="A1004" s="3204"/>
      <c r="B1004" s="2991" t="s">
        <v>4230</v>
      </c>
      <c r="C1004" s="2994">
        <v>45.51</v>
      </c>
      <c r="D1004" s="2993" t="s">
        <v>3254</v>
      </c>
      <c r="E1004" s="3002">
        <v>420000</v>
      </c>
    </row>
    <row r="1005" spans="1:6" s="2993" customFormat="1">
      <c r="A1005" s="3204"/>
      <c r="B1005" s="2991" t="s">
        <v>4231</v>
      </c>
      <c r="C1005" s="2994">
        <v>45.51</v>
      </c>
      <c r="D1005" s="2993" t="s">
        <v>3254</v>
      </c>
      <c r="E1005" s="3002">
        <v>420000</v>
      </c>
    </row>
    <row r="1006" spans="1:6" s="2993" customFormat="1">
      <c r="A1006" s="3204">
        <v>203</v>
      </c>
      <c r="B1006" s="2991" t="s">
        <v>4232</v>
      </c>
      <c r="C1006" s="2996">
        <v>134.86000000000001</v>
      </c>
      <c r="D1006" s="2993" t="s">
        <v>3257</v>
      </c>
      <c r="E1006" s="2996">
        <v>7938461</v>
      </c>
    </row>
    <row r="1007" spans="1:6" s="2993" customFormat="1" ht="24">
      <c r="A1007" s="3204"/>
      <c r="B1007" s="2991" t="s">
        <v>4233</v>
      </c>
      <c r="C1007" s="2996">
        <v>85.01</v>
      </c>
      <c r="D1007" s="2993" t="s">
        <v>4487</v>
      </c>
      <c r="E1007" s="2996">
        <v>2550300</v>
      </c>
      <c r="F1007" s="2993">
        <f t="shared" ref="F1007:F1008" si="199">E1007/C1007</f>
        <v>30000</v>
      </c>
    </row>
    <row r="1008" spans="1:6" s="2993" customFormat="1">
      <c r="A1008" s="3204"/>
      <c r="B1008" s="2991" t="s">
        <v>4234</v>
      </c>
      <c r="C1008" s="2996">
        <v>84.33</v>
      </c>
      <c r="D1008" s="2993" t="s">
        <v>3252</v>
      </c>
      <c r="E1008" s="2996">
        <v>2529900</v>
      </c>
      <c r="F1008" s="2993">
        <f t="shared" si="199"/>
        <v>30000</v>
      </c>
    </row>
    <row r="1009" spans="1:6" s="2993" customFormat="1">
      <c r="A1009" s="3204"/>
      <c r="B1009" s="2991" t="s">
        <v>4235</v>
      </c>
      <c r="C1009" s="2994">
        <v>45.51</v>
      </c>
      <c r="D1009" s="2993" t="s">
        <v>3254</v>
      </c>
      <c r="E1009" s="3002">
        <v>420000</v>
      </c>
    </row>
    <row r="1010" spans="1:6" s="2993" customFormat="1">
      <c r="A1010" s="3204"/>
      <c r="B1010" s="2991" t="s">
        <v>4236</v>
      </c>
      <c r="C1010" s="2994">
        <v>45.51</v>
      </c>
      <c r="D1010" s="2993" t="s">
        <v>3254</v>
      </c>
      <c r="E1010" s="3002">
        <v>420000</v>
      </c>
    </row>
    <row r="1011" spans="1:6" s="2993" customFormat="1">
      <c r="A1011" s="3204">
        <v>204</v>
      </c>
      <c r="B1011" s="2991" t="s">
        <v>4237</v>
      </c>
      <c r="C1011" s="2999">
        <v>134.72999999999999</v>
      </c>
      <c r="D1011" s="2993" t="s">
        <v>3257</v>
      </c>
      <c r="E1011" s="2996">
        <v>8556433</v>
      </c>
    </row>
    <row r="1012" spans="1:6" s="2993" customFormat="1" ht="24">
      <c r="A1012" s="3204"/>
      <c r="B1012" s="2991" t="s">
        <v>4238</v>
      </c>
      <c r="C1012" s="2996">
        <v>84.64</v>
      </c>
      <c r="D1012" s="2993" t="s">
        <v>4487</v>
      </c>
      <c r="E1012" s="2996">
        <v>2539200</v>
      </c>
      <c r="F1012" s="2993">
        <f t="shared" ref="F1012:F1013" si="200">E1012/C1012</f>
        <v>30000</v>
      </c>
    </row>
    <row r="1013" spans="1:6" s="2993" customFormat="1">
      <c r="A1013" s="3204"/>
      <c r="B1013" s="2991" t="s">
        <v>4239</v>
      </c>
      <c r="C1013" s="2996">
        <v>83.62</v>
      </c>
      <c r="D1013" s="2993" t="s">
        <v>3252</v>
      </c>
      <c r="E1013" s="2996">
        <v>2508600</v>
      </c>
      <c r="F1013" s="2993">
        <f t="shared" si="200"/>
        <v>30000</v>
      </c>
    </row>
    <row r="1014" spans="1:6" s="2993" customFormat="1">
      <c r="A1014" s="3204"/>
      <c r="B1014" s="2991" t="s">
        <v>4240</v>
      </c>
      <c r="C1014" s="2994">
        <v>45.51</v>
      </c>
      <c r="D1014" s="2993" t="s">
        <v>3254</v>
      </c>
      <c r="E1014" s="3002">
        <v>420000</v>
      </c>
    </row>
    <row r="1015" spans="1:6" s="2993" customFormat="1">
      <c r="A1015" s="3204"/>
      <c r="B1015" s="2991" t="s">
        <v>4241</v>
      </c>
      <c r="C1015" s="2994">
        <v>45.51</v>
      </c>
      <c r="D1015" s="2993" t="s">
        <v>3254</v>
      </c>
      <c r="E1015" s="3002">
        <v>420000</v>
      </c>
    </row>
    <row r="1016" spans="1:6" s="2993" customFormat="1">
      <c r="A1016" s="3204">
        <v>205</v>
      </c>
      <c r="B1016" s="2991" t="s">
        <v>4242</v>
      </c>
      <c r="C1016" s="2996">
        <v>134.91999999999999</v>
      </c>
      <c r="D1016" s="2993" t="s">
        <v>3257</v>
      </c>
      <c r="E1016" s="2996">
        <v>7743321</v>
      </c>
    </row>
    <row r="1017" spans="1:6" s="2993" customFormat="1" ht="24">
      <c r="A1017" s="3204"/>
      <c r="B1017" s="2991" t="s">
        <v>4243</v>
      </c>
      <c r="C1017" s="2996">
        <v>85.06</v>
      </c>
      <c r="D1017" s="2993" t="s">
        <v>4487</v>
      </c>
      <c r="E1017" s="2996">
        <v>2551800</v>
      </c>
      <c r="F1017" s="2993">
        <f t="shared" ref="F1017:F1018" si="201">E1017/C1017</f>
        <v>30000</v>
      </c>
    </row>
    <row r="1018" spans="1:6" s="2993" customFormat="1">
      <c r="A1018" s="3204"/>
      <c r="B1018" s="2991" t="s">
        <v>4244</v>
      </c>
      <c r="C1018" s="2996">
        <v>84.34</v>
      </c>
      <c r="D1018" s="2993" t="s">
        <v>3252</v>
      </c>
      <c r="E1018" s="2996">
        <v>2530200</v>
      </c>
      <c r="F1018" s="2993">
        <f t="shared" si="201"/>
        <v>30000</v>
      </c>
    </row>
    <row r="1019" spans="1:6" s="2993" customFormat="1">
      <c r="A1019" s="3204"/>
      <c r="B1019" s="2991" t="s">
        <v>4245</v>
      </c>
      <c r="C1019" s="2994">
        <v>45.51</v>
      </c>
      <c r="D1019" s="2993" t="s">
        <v>3254</v>
      </c>
      <c r="E1019" s="3002">
        <v>420000</v>
      </c>
    </row>
    <row r="1020" spans="1:6" s="2993" customFormat="1">
      <c r="A1020" s="3204"/>
      <c r="B1020" s="2991" t="s">
        <v>4246</v>
      </c>
      <c r="C1020" s="2994">
        <v>45.51</v>
      </c>
      <c r="D1020" s="2993" t="s">
        <v>3254</v>
      </c>
      <c r="E1020" s="3002">
        <v>420000</v>
      </c>
    </row>
    <row r="1021" spans="1:6" s="2993" customFormat="1">
      <c r="A1021" s="3204">
        <v>206</v>
      </c>
      <c r="B1021" s="2991" t="s">
        <v>4247</v>
      </c>
      <c r="C1021" s="2996">
        <v>134.72999999999999</v>
      </c>
      <c r="D1021" s="2993" t="s">
        <v>3257</v>
      </c>
      <c r="E1021" s="2996">
        <v>8556433</v>
      </c>
    </row>
    <row r="1022" spans="1:6" s="2993" customFormat="1" ht="24">
      <c r="A1022" s="3204"/>
      <c r="B1022" s="2991" t="s">
        <v>4248</v>
      </c>
      <c r="C1022" s="2996">
        <v>84.64</v>
      </c>
      <c r="D1022" s="2993" t="s">
        <v>4487</v>
      </c>
      <c r="E1022" s="2996">
        <v>2539200</v>
      </c>
      <c r="F1022" s="2993">
        <f t="shared" ref="F1022:F1023" si="202">E1022/C1022</f>
        <v>30000</v>
      </c>
    </row>
    <row r="1023" spans="1:6" s="2993" customFormat="1">
      <c r="A1023" s="3204"/>
      <c r="B1023" s="2991" t="s">
        <v>4249</v>
      </c>
      <c r="C1023" s="2996">
        <v>83.62</v>
      </c>
      <c r="D1023" s="2993" t="s">
        <v>3252</v>
      </c>
      <c r="E1023" s="2996">
        <v>2508600</v>
      </c>
      <c r="F1023" s="2993">
        <f t="shared" si="202"/>
        <v>30000</v>
      </c>
    </row>
    <row r="1024" spans="1:6" s="2993" customFormat="1">
      <c r="A1024" s="3204"/>
      <c r="B1024" s="2991" t="s">
        <v>4250</v>
      </c>
      <c r="C1024" s="2994">
        <v>45.51</v>
      </c>
      <c r="D1024" s="2993" t="s">
        <v>3254</v>
      </c>
      <c r="E1024" s="3002">
        <v>420000</v>
      </c>
    </row>
    <row r="1025" spans="1:6" s="2993" customFormat="1">
      <c r="A1025" s="3204"/>
      <c r="B1025" s="2991" t="s">
        <v>4251</v>
      </c>
      <c r="C1025" s="2994">
        <v>45.51</v>
      </c>
      <c r="D1025" s="2993" t="s">
        <v>3254</v>
      </c>
      <c r="E1025" s="3002">
        <v>420000</v>
      </c>
    </row>
    <row r="1026" spans="1:6" s="2993" customFormat="1">
      <c r="A1026" s="3204">
        <v>207</v>
      </c>
      <c r="B1026" s="2991" t="s">
        <v>4252</v>
      </c>
      <c r="C1026" s="2996">
        <v>134.91999999999999</v>
      </c>
      <c r="D1026" s="2993" t="s">
        <v>3257</v>
      </c>
      <c r="E1026" s="2996">
        <v>7941991</v>
      </c>
    </row>
    <row r="1027" spans="1:6" s="2993" customFormat="1" ht="24">
      <c r="A1027" s="3204"/>
      <c r="B1027" s="2991" t="s">
        <v>4253</v>
      </c>
      <c r="C1027" s="2996">
        <v>85.06</v>
      </c>
      <c r="D1027" s="2993" t="s">
        <v>4487</v>
      </c>
      <c r="E1027" s="2996">
        <v>2551800</v>
      </c>
      <c r="F1027" s="2993">
        <f t="shared" ref="F1027:F1028" si="203">E1027/C1027</f>
        <v>30000</v>
      </c>
    </row>
    <row r="1028" spans="1:6" s="2993" customFormat="1">
      <c r="A1028" s="3204"/>
      <c r="B1028" s="2991" t="s">
        <v>4254</v>
      </c>
      <c r="C1028" s="2996">
        <v>84.34</v>
      </c>
      <c r="D1028" s="2993" t="s">
        <v>3252</v>
      </c>
      <c r="E1028" s="2996">
        <v>2530200</v>
      </c>
      <c r="F1028" s="2993">
        <f t="shared" si="203"/>
        <v>30000</v>
      </c>
    </row>
    <row r="1029" spans="1:6" s="2993" customFormat="1">
      <c r="A1029" s="3204"/>
      <c r="B1029" s="2991" t="s">
        <v>4255</v>
      </c>
      <c r="C1029" s="2994">
        <v>45.51</v>
      </c>
      <c r="D1029" s="2993" t="s">
        <v>3254</v>
      </c>
      <c r="E1029" s="3002">
        <v>420000</v>
      </c>
    </row>
    <row r="1030" spans="1:6" s="2993" customFormat="1">
      <c r="A1030" s="3204"/>
      <c r="B1030" s="2991" t="s">
        <v>4256</v>
      </c>
      <c r="C1030" s="2994">
        <v>45.51</v>
      </c>
      <c r="D1030" s="2993" t="s">
        <v>3254</v>
      </c>
      <c r="E1030" s="3002">
        <v>420000</v>
      </c>
    </row>
    <row r="1031" spans="1:6" s="2993" customFormat="1">
      <c r="A1031" s="3204">
        <v>208</v>
      </c>
      <c r="B1031" s="2991" t="s">
        <v>4257</v>
      </c>
      <c r="C1031" s="2996">
        <v>134.28</v>
      </c>
      <c r="D1031" s="2993" t="s">
        <v>3257</v>
      </c>
      <c r="E1031" s="2996">
        <v>7706366</v>
      </c>
    </row>
    <row r="1032" spans="1:6" s="2993" customFormat="1" ht="24">
      <c r="A1032" s="3204"/>
      <c r="B1032" s="2991" t="s">
        <v>4258</v>
      </c>
      <c r="C1032" s="2996">
        <v>84.49</v>
      </c>
      <c r="D1032" s="2993" t="s">
        <v>4487</v>
      </c>
      <c r="E1032" s="2996">
        <v>2534700</v>
      </c>
      <c r="F1032" s="2993">
        <f t="shared" ref="F1032:F1033" si="204">E1032/C1032</f>
        <v>30000</v>
      </c>
    </row>
    <row r="1033" spans="1:6" s="2993" customFormat="1">
      <c r="A1033" s="3204"/>
      <c r="B1033" s="2991" t="s">
        <v>4259</v>
      </c>
      <c r="C1033" s="2996">
        <v>84.17</v>
      </c>
      <c r="D1033" s="2993" t="s">
        <v>3252</v>
      </c>
      <c r="E1033" s="2996">
        <v>2525100</v>
      </c>
      <c r="F1033" s="2993">
        <f t="shared" si="204"/>
        <v>30000</v>
      </c>
    </row>
    <row r="1034" spans="1:6" s="2993" customFormat="1">
      <c r="A1034" s="3204"/>
      <c r="B1034" s="2991" t="s">
        <v>4260</v>
      </c>
      <c r="C1034" s="2994">
        <v>45.51</v>
      </c>
      <c r="D1034" s="2993" t="s">
        <v>3254</v>
      </c>
      <c r="E1034" s="3002">
        <v>420000</v>
      </c>
    </row>
    <row r="1035" spans="1:6" s="2993" customFormat="1">
      <c r="A1035" s="3204"/>
      <c r="B1035" s="2991" t="s">
        <v>4261</v>
      </c>
      <c r="C1035" s="2994">
        <v>45.51</v>
      </c>
      <c r="D1035" s="2993" t="s">
        <v>3254</v>
      </c>
      <c r="E1035" s="3002">
        <v>420000</v>
      </c>
    </row>
    <row r="1036" spans="1:6" s="2993" customFormat="1">
      <c r="A1036" s="3204">
        <v>209</v>
      </c>
      <c r="B1036" s="2991" t="s">
        <v>4262</v>
      </c>
      <c r="C1036" s="2996">
        <v>134.47</v>
      </c>
      <c r="D1036" s="2993" t="s">
        <v>3257</v>
      </c>
      <c r="E1036" s="2996">
        <v>8034348</v>
      </c>
    </row>
    <row r="1037" spans="1:6" s="2993" customFormat="1" ht="24">
      <c r="A1037" s="3204"/>
      <c r="B1037" s="2991" t="s">
        <v>4263</v>
      </c>
      <c r="C1037" s="2996">
        <v>84.77</v>
      </c>
      <c r="D1037" s="2993" t="s">
        <v>4487</v>
      </c>
      <c r="E1037" s="2996">
        <v>2543100</v>
      </c>
      <c r="F1037" s="2993">
        <f t="shared" ref="F1037:F1038" si="205">E1037/C1037</f>
        <v>30000</v>
      </c>
    </row>
    <row r="1038" spans="1:6" s="2993" customFormat="1">
      <c r="A1038" s="3204"/>
      <c r="B1038" s="2991" t="s">
        <v>4264</v>
      </c>
      <c r="C1038" s="2996">
        <v>84.17</v>
      </c>
      <c r="D1038" s="2993" t="s">
        <v>3252</v>
      </c>
      <c r="E1038" s="2996">
        <v>2525100</v>
      </c>
      <c r="F1038" s="2993">
        <f t="shared" si="205"/>
        <v>30000</v>
      </c>
    </row>
    <row r="1039" spans="1:6" s="2993" customFormat="1">
      <c r="A1039" s="3204"/>
      <c r="B1039" s="2991" t="s">
        <v>4265</v>
      </c>
      <c r="C1039" s="2994">
        <v>45.51</v>
      </c>
      <c r="D1039" s="2993" t="s">
        <v>3254</v>
      </c>
      <c r="E1039" s="3002">
        <v>420000</v>
      </c>
    </row>
    <row r="1040" spans="1:6" s="2993" customFormat="1">
      <c r="A1040" s="3204"/>
      <c r="B1040" s="2991" t="s">
        <v>4266</v>
      </c>
      <c r="C1040" s="2994">
        <v>45.51</v>
      </c>
      <c r="D1040" s="2993" t="s">
        <v>3254</v>
      </c>
      <c r="E1040" s="3002">
        <v>420000</v>
      </c>
    </row>
    <row r="1041" spans="1:6" s="2993" customFormat="1">
      <c r="A1041" s="3204">
        <v>210</v>
      </c>
      <c r="B1041" s="2991" t="s">
        <v>4267</v>
      </c>
      <c r="C1041" s="2999">
        <v>134.72999999999999</v>
      </c>
      <c r="D1041" s="2993" t="s">
        <v>3257</v>
      </c>
      <c r="E1041" s="2996">
        <v>8556433</v>
      </c>
    </row>
    <row r="1042" spans="1:6" s="2993" customFormat="1" ht="24">
      <c r="A1042" s="3204"/>
      <c r="B1042" s="2991" t="s">
        <v>4268</v>
      </c>
      <c r="C1042" s="2996">
        <v>84.64</v>
      </c>
      <c r="D1042" s="2993" t="s">
        <v>4487</v>
      </c>
      <c r="E1042" s="2996">
        <v>2539200</v>
      </c>
      <c r="F1042" s="2993">
        <f t="shared" ref="F1042:F1043" si="206">E1042/C1042</f>
        <v>30000</v>
      </c>
    </row>
    <row r="1043" spans="1:6" s="2993" customFormat="1">
      <c r="A1043" s="3204"/>
      <c r="B1043" s="2991" t="s">
        <v>4269</v>
      </c>
      <c r="C1043" s="2996">
        <v>83.62</v>
      </c>
      <c r="D1043" s="2993" t="s">
        <v>3252</v>
      </c>
      <c r="E1043" s="2996">
        <v>2508600</v>
      </c>
      <c r="F1043" s="2993">
        <f t="shared" si="206"/>
        <v>30000</v>
      </c>
    </row>
    <row r="1044" spans="1:6" s="2993" customFormat="1">
      <c r="A1044" s="3204"/>
      <c r="B1044" s="2991" t="s">
        <v>4270</v>
      </c>
      <c r="C1044" s="2994">
        <v>45.51</v>
      </c>
      <c r="D1044" s="2993" t="s">
        <v>3254</v>
      </c>
      <c r="E1044" s="3002">
        <v>420000</v>
      </c>
    </row>
    <row r="1045" spans="1:6" s="2993" customFormat="1">
      <c r="A1045" s="3204"/>
      <c r="B1045" s="2991" t="s">
        <v>4271</v>
      </c>
      <c r="C1045" s="2994">
        <v>45.51</v>
      </c>
      <c r="D1045" s="2993" t="s">
        <v>3254</v>
      </c>
      <c r="E1045" s="3002">
        <v>420000</v>
      </c>
    </row>
    <row r="1046" spans="1:6" s="2993" customFormat="1">
      <c r="A1046" s="3204">
        <v>211</v>
      </c>
      <c r="B1046" s="2991" t="s">
        <v>4272</v>
      </c>
      <c r="C1046" s="2996">
        <v>134.91999999999999</v>
      </c>
      <c r="D1046" s="2993" t="s">
        <v>3257</v>
      </c>
      <c r="E1046" s="2996">
        <v>7862523</v>
      </c>
    </row>
    <row r="1047" spans="1:6" s="2993" customFormat="1" ht="24">
      <c r="A1047" s="3204"/>
      <c r="B1047" s="2991" t="s">
        <v>4273</v>
      </c>
      <c r="C1047" s="2996">
        <v>85.06</v>
      </c>
      <c r="D1047" s="2993" t="s">
        <v>4487</v>
      </c>
      <c r="E1047" s="2996">
        <v>2551800</v>
      </c>
      <c r="F1047" s="2993">
        <f t="shared" ref="F1047:F1048" si="207">E1047/C1047</f>
        <v>30000</v>
      </c>
    </row>
    <row r="1048" spans="1:6" s="2993" customFormat="1">
      <c r="A1048" s="3204"/>
      <c r="B1048" s="2991" t="s">
        <v>4274</v>
      </c>
      <c r="C1048" s="2996">
        <v>84.34</v>
      </c>
      <c r="D1048" s="2993" t="s">
        <v>3252</v>
      </c>
      <c r="E1048" s="2996">
        <v>2530200</v>
      </c>
      <c r="F1048" s="2993">
        <f t="shared" si="207"/>
        <v>30000</v>
      </c>
    </row>
    <row r="1049" spans="1:6" s="2993" customFormat="1">
      <c r="A1049" s="3204"/>
      <c r="B1049" s="2991" t="s">
        <v>4275</v>
      </c>
      <c r="C1049" s="2994">
        <v>45.51</v>
      </c>
      <c r="D1049" s="2993" t="s">
        <v>3254</v>
      </c>
      <c r="E1049" s="3002">
        <v>420000</v>
      </c>
    </row>
    <row r="1050" spans="1:6" s="2993" customFormat="1">
      <c r="A1050" s="3204"/>
      <c r="B1050" s="2991" t="s">
        <v>4276</v>
      </c>
      <c r="C1050" s="2994">
        <v>45.51</v>
      </c>
      <c r="D1050" s="2993" t="s">
        <v>3254</v>
      </c>
      <c r="E1050" s="3002">
        <v>420000</v>
      </c>
    </row>
    <row r="1051" spans="1:6" s="2993" customFormat="1">
      <c r="A1051" s="3204">
        <v>212</v>
      </c>
      <c r="B1051" s="2991" t="s">
        <v>4277</v>
      </c>
      <c r="C1051" s="2996">
        <v>134.72999999999999</v>
      </c>
      <c r="D1051" s="2993" t="s">
        <v>3257</v>
      </c>
      <c r="E1051" s="2996">
        <v>8556433</v>
      </c>
    </row>
    <row r="1052" spans="1:6" s="2993" customFormat="1" ht="24">
      <c r="A1052" s="3204"/>
      <c r="B1052" s="2991" t="s">
        <v>4278</v>
      </c>
      <c r="C1052" s="2996">
        <v>84.64</v>
      </c>
      <c r="D1052" s="2993" t="s">
        <v>4487</v>
      </c>
      <c r="E1052" s="2996">
        <v>2539200</v>
      </c>
      <c r="F1052" s="2993">
        <f t="shared" ref="F1052:F1053" si="208">E1052/C1052</f>
        <v>30000</v>
      </c>
    </row>
    <row r="1053" spans="1:6" s="2993" customFormat="1">
      <c r="A1053" s="3204"/>
      <c r="B1053" s="2991" t="s">
        <v>4279</v>
      </c>
      <c r="C1053" s="2996">
        <v>83.62</v>
      </c>
      <c r="D1053" s="2993" t="s">
        <v>3252</v>
      </c>
      <c r="E1053" s="2996">
        <v>2508600</v>
      </c>
      <c r="F1053" s="2993">
        <f t="shared" si="208"/>
        <v>30000</v>
      </c>
    </row>
    <row r="1054" spans="1:6" s="2993" customFormat="1">
      <c r="A1054" s="3204"/>
      <c r="B1054" s="2991" t="s">
        <v>4280</v>
      </c>
      <c r="C1054" s="2994">
        <v>45.51</v>
      </c>
      <c r="D1054" s="2993" t="s">
        <v>3254</v>
      </c>
      <c r="E1054" s="3002">
        <v>420000</v>
      </c>
    </row>
    <row r="1055" spans="1:6" s="2993" customFormat="1">
      <c r="A1055" s="3204"/>
      <c r="B1055" s="2991" t="s">
        <v>4281</v>
      </c>
      <c r="C1055" s="2994">
        <v>45.51</v>
      </c>
      <c r="D1055" s="2993" t="s">
        <v>3254</v>
      </c>
      <c r="E1055" s="3002">
        <v>420000</v>
      </c>
    </row>
    <row r="1056" spans="1:6" s="2993" customFormat="1">
      <c r="A1056" s="3204">
        <v>213</v>
      </c>
      <c r="B1056" s="2991" t="s">
        <v>4282</v>
      </c>
      <c r="C1056" s="2996">
        <v>134.91999999999999</v>
      </c>
      <c r="D1056" s="2993" t="s">
        <v>3257</v>
      </c>
      <c r="E1056" s="2996">
        <v>8061193</v>
      </c>
    </row>
    <row r="1057" spans="1:6" s="2993" customFormat="1" ht="24">
      <c r="A1057" s="3204"/>
      <c r="B1057" s="2991" t="s">
        <v>4283</v>
      </c>
      <c r="C1057" s="2996">
        <v>85.06</v>
      </c>
      <c r="D1057" s="2993" t="s">
        <v>4487</v>
      </c>
      <c r="E1057" s="2996">
        <v>2551800</v>
      </c>
      <c r="F1057" s="2993">
        <f t="shared" ref="F1057:F1058" si="209">E1057/C1057</f>
        <v>30000</v>
      </c>
    </row>
    <row r="1058" spans="1:6" s="2993" customFormat="1">
      <c r="A1058" s="3204"/>
      <c r="B1058" s="2991" t="s">
        <v>4284</v>
      </c>
      <c r="C1058" s="2996">
        <v>84.34</v>
      </c>
      <c r="D1058" s="2993" t="s">
        <v>3252</v>
      </c>
      <c r="E1058" s="2996">
        <v>2530200</v>
      </c>
      <c r="F1058" s="2993">
        <f t="shared" si="209"/>
        <v>30000</v>
      </c>
    </row>
    <row r="1059" spans="1:6" s="2993" customFormat="1">
      <c r="A1059" s="3204"/>
      <c r="B1059" s="2991" t="s">
        <v>4285</v>
      </c>
      <c r="C1059" s="2994">
        <v>45.51</v>
      </c>
      <c r="D1059" s="2993" t="s">
        <v>3254</v>
      </c>
      <c r="E1059" s="3002">
        <v>420000</v>
      </c>
    </row>
    <row r="1060" spans="1:6" s="2993" customFormat="1">
      <c r="A1060" s="3204"/>
      <c r="B1060" s="2991" t="s">
        <v>4286</v>
      </c>
      <c r="C1060" s="2994">
        <v>45.51</v>
      </c>
      <c r="D1060" s="2993" t="s">
        <v>3381</v>
      </c>
      <c r="E1060" s="3002">
        <v>420000</v>
      </c>
    </row>
    <row r="1061" spans="1:6" s="2993" customFormat="1">
      <c r="A1061" s="3204">
        <v>214</v>
      </c>
      <c r="B1061" s="2991" t="s">
        <v>4287</v>
      </c>
      <c r="C1061" s="2996">
        <v>134.29</v>
      </c>
      <c r="D1061" s="2993" t="s">
        <v>3384</v>
      </c>
      <c r="E1061" s="2996">
        <v>8528489</v>
      </c>
    </row>
    <row r="1062" spans="1:6" s="2993" customFormat="1" ht="24">
      <c r="A1062" s="3204"/>
      <c r="B1062" s="2991" t="s">
        <v>4288</v>
      </c>
      <c r="C1062" s="2996">
        <v>84.35</v>
      </c>
      <c r="D1062" s="2993" t="s">
        <v>4487</v>
      </c>
      <c r="E1062" s="2996">
        <v>2530500</v>
      </c>
      <c r="F1062" s="2993">
        <f t="shared" ref="F1062:F1063" si="210">E1062/C1062</f>
        <v>30000.000000000004</v>
      </c>
    </row>
    <row r="1063" spans="1:6" s="2993" customFormat="1">
      <c r="A1063" s="3204"/>
      <c r="B1063" s="2991" t="s">
        <v>4289</v>
      </c>
      <c r="C1063" s="2996">
        <v>83.45</v>
      </c>
      <c r="D1063" s="2993" t="s">
        <v>3379</v>
      </c>
      <c r="E1063" s="2996">
        <v>2503500</v>
      </c>
      <c r="F1063" s="2993">
        <f t="shared" si="210"/>
        <v>30000</v>
      </c>
    </row>
    <row r="1064" spans="1:6" s="2993" customFormat="1">
      <c r="A1064" s="3204"/>
      <c r="B1064" s="2991" t="s">
        <v>4290</v>
      </c>
      <c r="C1064" s="2994">
        <v>45.51</v>
      </c>
      <c r="D1064" s="2993" t="s">
        <v>3381</v>
      </c>
      <c r="E1064" s="3002">
        <v>420000</v>
      </c>
    </row>
    <row r="1065" spans="1:6" s="2993" customFormat="1">
      <c r="A1065" s="3204"/>
      <c r="B1065" s="2991" t="s">
        <v>4291</v>
      </c>
      <c r="C1065" s="2994">
        <v>45.51</v>
      </c>
      <c r="D1065" s="2993" t="s">
        <v>3381</v>
      </c>
      <c r="E1065" s="3002">
        <v>420000</v>
      </c>
    </row>
    <row r="1066" spans="1:6" s="2993" customFormat="1">
      <c r="A1066" s="3204">
        <v>215</v>
      </c>
      <c r="B1066" s="2991" t="s">
        <v>4292</v>
      </c>
      <c r="C1066" s="2996">
        <v>134.28</v>
      </c>
      <c r="D1066" s="2993" t="s">
        <v>3384</v>
      </c>
      <c r="E1066" s="2996">
        <v>7587713</v>
      </c>
    </row>
    <row r="1067" spans="1:6" s="2993" customFormat="1" ht="24">
      <c r="A1067" s="3204"/>
      <c r="B1067" s="2991" t="s">
        <v>4293</v>
      </c>
      <c r="C1067" s="2996">
        <v>84.49</v>
      </c>
      <c r="D1067" s="2993" t="s">
        <v>4487</v>
      </c>
      <c r="E1067" s="2996">
        <v>2534700</v>
      </c>
      <c r="F1067" s="2993">
        <f t="shared" ref="F1067:F1068" si="211">E1067/C1067</f>
        <v>30000</v>
      </c>
    </row>
    <row r="1068" spans="1:6" s="2993" customFormat="1">
      <c r="A1068" s="3204"/>
      <c r="B1068" s="2991" t="s">
        <v>4294</v>
      </c>
      <c r="C1068" s="2996">
        <v>84.17</v>
      </c>
      <c r="D1068" s="2993" t="s">
        <v>3379</v>
      </c>
      <c r="E1068" s="2996">
        <v>2525100</v>
      </c>
      <c r="F1068" s="2993">
        <f t="shared" si="211"/>
        <v>30000</v>
      </c>
    </row>
    <row r="1069" spans="1:6" s="2993" customFormat="1">
      <c r="A1069" s="3204"/>
      <c r="B1069" s="2991" t="s">
        <v>4295</v>
      </c>
      <c r="C1069" s="2994">
        <v>45.51</v>
      </c>
      <c r="D1069" s="2993" t="s">
        <v>3381</v>
      </c>
      <c r="E1069" s="3002">
        <v>420000</v>
      </c>
    </row>
    <row r="1070" spans="1:6" s="2993" customFormat="1">
      <c r="A1070" s="3204"/>
      <c r="B1070" s="2991" t="s">
        <v>4296</v>
      </c>
      <c r="C1070" s="2994">
        <v>45.51</v>
      </c>
      <c r="D1070" s="2993" t="s">
        <v>3381</v>
      </c>
      <c r="E1070" s="3002">
        <v>420000</v>
      </c>
    </row>
    <row r="1071" spans="1:6" s="2993" customFormat="1">
      <c r="A1071" s="3204">
        <v>216</v>
      </c>
      <c r="B1071" s="2991" t="s">
        <v>4297</v>
      </c>
      <c r="C1071" s="2996">
        <v>134.47</v>
      </c>
      <c r="D1071" s="2993" t="s">
        <v>3384</v>
      </c>
      <c r="E1071" s="2996">
        <v>7717461</v>
      </c>
    </row>
    <row r="1072" spans="1:6" s="2993" customFormat="1" ht="24">
      <c r="A1072" s="3204"/>
      <c r="B1072" s="2991" t="s">
        <v>4298</v>
      </c>
      <c r="C1072" s="2996">
        <v>84.77</v>
      </c>
      <c r="D1072" s="2993" t="s">
        <v>4487</v>
      </c>
      <c r="E1072" s="2996">
        <v>2543100</v>
      </c>
      <c r="F1072" s="2993">
        <f t="shared" ref="F1072:F1073" si="212">E1072/C1072</f>
        <v>30000</v>
      </c>
    </row>
    <row r="1073" spans="1:6" s="2993" customFormat="1">
      <c r="A1073" s="3204"/>
      <c r="B1073" s="2991" t="s">
        <v>4299</v>
      </c>
      <c r="C1073" s="2996">
        <v>84.17</v>
      </c>
      <c r="D1073" s="2993" t="s">
        <v>3379</v>
      </c>
      <c r="E1073" s="2996">
        <v>2525100</v>
      </c>
      <c r="F1073" s="2993">
        <f t="shared" si="212"/>
        <v>30000</v>
      </c>
    </row>
    <row r="1074" spans="1:6" s="2993" customFormat="1">
      <c r="A1074" s="3204"/>
      <c r="B1074" s="2991" t="s">
        <v>4300</v>
      </c>
      <c r="C1074" s="2994">
        <v>45.51</v>
      </c>
      <c r="D1074" s="2993" t="s">
        <v>3381</v>
      </c>
      <c r="E1074" s="3002">
        <v>420000</v>
      </c>
    </row>
    <row r="1075" spans="1:6" s="2993" customFormat="1">
      <c r="A1075" s="3204"/>
      <c r="B1075" s="2991" t="s">
        <v>4301</v>
      </c>
      <c r="C1075" s="2994">
        <v>45.51</v>
      </c>
      <c r="D1075" s="2993" t="s">
        <v>3381</v>
      </c>
      <c r="E1075" s="3002">
        <v>420000</v>
      </c>
    </row>
    <row r="1076" spans="1:6" s="2993" customFormat="1">
      <c r="A1076" s="3204">
        <v>217</v>
      </c>
      <c r="B1076" s="2991" t="s">
        <v>4302</v>
      </c>
      <c r="C1076" s="2996">
        <v>134.29</v>
      </c>
      <c r="D1076" s="2993" t="s">
        <v>3384</v>
      </c>
      <c r="E1076" s="2996">
        <v>8528489</v>
      </c>
    </row>
    <row r="1077" spans="1:6" s="2993" customFormat="1" ht="24">
      <c r="A1077" s="3204"/>
      <c r="B1077" s="2991" t="s">
        <v>4303</v>
      </c>
      <c r="C1077" s="2996">
        <v>84.35</v>
      </c>
      <c r="D1077" s="2993" t="s">
        <v>4487</v>
      </c>
      <c r="E1077" s="2996">
        <v>2530500</v>
      </c>
      <c r="F1077" s="2993">
        <f t="shared" ref="F1077:F1078" si="213">E1077/C1077</f>
        <v>30000.000000000004</v>
      </c>
    </row>
    <row r="1078" spans="1:6" s="2993" customFormat="1">
      <c r="A1078" s="3204"/>
      <c r="B1078" s="2991" t="s">
        <v>4304</v>
      </c>
      <c r="C1078" s="2996">
        <v>83.45</v>
      </c>
      <c r="D1078" s="2993" t="s">
        <v>3379</v>
      </c>
      <c r="E1078" s="2996">
        <v>2503500</v>
      </c>
      <c r="F1078" s="2993">
        <f t="shared" si="213"/>
        <v>30000</v>
      </c>
    </row>
    <row r="1079" spans="1:6" s="2993" customFormat="1">
      <c r="A1079" s="3204"/>
      <c r="B1079" s="2991" t="s">
        <v>4305</v>
      </c>
      <c r="C1079" s="2994">
        <v>45.51</v>
      </c>
      <c r="D1079" s="2993" t="s">
        <v>3381</v>
      </c>
      <c r="E1079" s="3002">
        <v>420000</v>
      </c>
    </row>
    <row r="1080" spans="1:6" s="2993" customFormat="1">
      <c r="A1080" s="3204"/>
      <c r="B1080" s="2991" t="s">
        <v>4306</v>
      </c>
      <c r="C1080" s="2994">
        <v>45.51</v>
      </c>
      <c r="D1080" s="2993" t="s">
        <v>3381</v>
      </c>
      <c r="E1080" s="3002">
        <v>420000</v>
      </c>
    </row>
    <row r="1081" spans="1:6" s="2993" customFormat="1">
      <c r="A1081" s="3204">
        <v>218</v>
      </c>
      <c r="B1081" s="2991" t="s">
        <v>4307</v>
      </c>
      <c r="C1081" s="2996">
        <v>134.28</v>
      </c>
      <c r="D1081" s="2993" t="s">
        <v>3384</v>
      </c>
      <c r="E1081" s="2996">
        <v>7785469</v>
      </c>
    </row>
    <row r="1082" spans="1:6" s="2993" customFormat="1" ht="24">
      <c r="A1082" s="3204"/>
      <c r="B1082" s="2991" t="s">
        <v>4308</v>
      </c>
      <c r="C1082" s="2996">
        <v>84.49</v>
      </c>
      <c r="D1082" s="2993" t="s">
        <v>4487</v>
      </c>
      <c r="E1082" s="2996">
        <v>2534700</v>
      </c>
      <c r="F1082" s="2993">
        <f t="shared" ref="F1082:F1083" si="214">E1082/C1082</f>
        <v>30000</v>
      </c>
    </row>
    <row r="1083" spans="1:6" s="2993" customFormat="1">
      <c r="A1083" s="3204"/>
      <c r="B1083" s="2991" t="s">
        <v>4309</v>
      </c>
      <c r="C1083" s="2996">
        <v>84.17</v>
      </c>
      <c r="D1083" s="2993" t="s">
        <v>3379</v>
      </c>
      <c r="E1083" s="2996">
        <v>2525100</v>
      </c>
      <c r="F1083" s="2993">
        <f t="shared" si="214"/>
        <v>30000</v>
      </c>
    </row>
    <row r="1084" spans="1:6" s="2993" customFormat="1">
      <c r="A1084" s="3204"/>
      <c r="B1084" s="2991" t="s">
        <v>4310</v>
      </c>
      <c r="C1084" s="2994">
        <v>45.51</v>
      </c>
      <c r="D1084" s="2993" t="s">
        <v>3381</v>
      </c>
      <c r="E1084" s="3002">
        <v>420000</v>
      </c>
    </row>
    <row r="1085" spans="1:6" s="2993" customFormat="1">
      <c r="A1085" s="3204"/>
      <c r="B1085" s="2991" t="s">
        <v>4311</v>
      </c>
      <c r="C1085" s="2994">
        <v>45.51</v>
      </c>
      <c r="D1085" s="2993" t="s">
        <v>3381</v>
      </c>
      <c r="E1085" s="3002">
        <v>420000</v>
      </c>
    </row>
    <row r="1086" spans="1:6" s="2993" customFormat="1">
      <c r="A1086" s="3204">
        <v>219</v>
      </c>
      <c r="B1086" s="2991" t="s">
        <v>4312</v>
      </c>
      <c r="C1086" s="2996">
        <v>134.47</v>
      </c>
      <c r="D1086" s="2993" t="s">
        <v>3238</v>
      </c>
      <c r="E1086" s="2996">
        <v>7915515</v>
      </c>
    </row>
    <row r="1087" spans="1:6" s="2993" customFormat="1" ht="24">
      <c r="A1087" s="3204"/>
      <c r="B1087" s="2991" t="s">
        <v>4313</v>
      </c>
      <c r="C1087" s="2996">
        <v>84.77</v>
      </c>
      <c r="D1087" s="2993" t="s">
        <v>4487</v>
      </c>
      <c r="E1087" s="2996">
        <v>2543100</v>
      </c>
      <c r="F1087" s="2993">
        <f t="shared" ref="F1087:F1088" si="215">E1087/C1087</f>
        <v>30000</v>
      </c>
    </row>
    <row r="1088" spans="1:6" s="2993" customFormat="1">
      <c r="A1088" s="3204"/>
      <c r="B1088" s="2991" t="s">
        <v>4314</v>
      </c>
      <c r="C1088" s="2996">
        <v>84.17</v>
      </c>
      <c r="D1088" s="2993" t="s">
        <v>3241</v>
      </c>
      <c r="E1088" s="2996">
        <v>2525100</v>
      </c>
      <c r="F1088" s="2993">
        <f t="shared" si="215"/>
        <v>30000</v>
      </c>
    </row>
    <row r="1089" spans="1:6" s="2993" customFormat="1">
      <c r="A1089" s="3204"/>
      <c r="B1089" s="2991" t="s">
        <v>4315</v>
      </c>
      <c r="C1089" s="2994">
        <v>45.51</v>
      </c>
      <c r="D1089" s="2993" t="s">
        <v>3235</v>
      </c>
      <c r="E1089" s="3002">
        <v>420000</v>
      </c>
    </row>
    <row r="1090" spans="1:6" s="2993" customFormat="1">
      <c r="A1090" s="3204"/>
      <c r="B1090" s="2991" t="s">
        <v>4316</v>
      </c>
      <c r="C1090" s="2994">
        <v>45.51</v>
      </c>
      <c r="D1090" s="2993" t="s">
        <v>3235</v>
      </c>
      <c r="E1090" s="3002">
        <v>420000</v>
      </c>
    </row>
    <row r="1091" spans="1:6" s="2993" customFormat="1">
      <c r="A1091" s="3204">
        <v>220</v>
      </c>
      <c r="B1091" s="2991" t="s">
        <v>4317</v>
      </c>
      <c r="C1091" s="2996">
        <v>134.29</v>
      </c>
      <c r="D1091" s="2993" t="s">
        <v>3238</v>
      </c>
      <c r="E1091" s="2996">
        <v>8528489</v>
      </c>
    </row>
    <row r="1092" spans="1:6" s="2993" customFormat="1" ht="24">
      <c r="A1092" s="3204"/>
      <c r="B1092" s="2991" t="s">
        <v>4318</v>
      </c>
      <c r="C1092" s="2996">
        <v>84.35</v>
      </c>
      <c r="D1092" s="2993" t="s">
        <v>4487</v>
      </c>
      <c r="E1092" s="2996">
        <v>2530500</v>
      </c>
      <c r="F1092" s="2993">
        <f t="shared" ref="F1092:F1093" si="216">E1092/C1092</f>
        <v>30000.000000000004</v>
      </c>
    </row>
    <row r="1093" spans="1:6" s="2993" customFormat="1">
      <c r="A1093" s="3204"/>
      <c r="B1093" s="2991" t="s">
        <v>4319</v>
      </c>
      <c r="C1093" s="2996">
        <v>83.45</v>
      </c>
      <c r="D1093" s="2993" t="s">
        <v>3241</v>
      </c>
      <c r="E1093" s="2996">
        <v>2503500</v>
      </c>
      <c r="F1093" s="2993">
        <f t="shared" si="216"/>
        <v>30000</v>
      </c>
    </row>
    <row r="1094" spans="1:6" s="2993" customFormat="1">
      <c r="A1094" s="3204"/>
      <c r="B1094" s="2991" t="s">
        <v>4320</v>
      </c>
      <c r="C1094" s="2994">
        <v>45.51</v>
      </c>
      <c r="D1094" s="2993" t="s">
        <v>3235</v>
      </c>
      <c r="E1094" s="3002">
        <v>420000</v>
      </c>
    </row>
    <row r="1095" spans="1:6" s="2993" customFormat="1">
      <c r="A1095" s="3204"/>
      <c r="B1095" s="2991" t="s">
        <v>4321</v>
      </c>
      <c r="C1095" s="2994">
        <v>45.51</v>
      </c>
      <c r="D1095" s="2993" t="s">
        <v>3235</v>
      </c>
      <c r="E1095" s="3002">
        <v>420000</v>
      </c>
    </row>
    <row r="1096" spans="1:6" s="2993" customFormat="1">
      <c r="A1096" s="3204">
        <v>221</v>
      </c>
      <c r="B1096" s="2991" t="s">
        <v>4322</v>
      </c>
      <c r="C1096" s="2996">
        <v>134.28</v>
      </c>
      <c r="D1096" s="2993" t="s">
        <v>3257</v>
      </c>
      <c r="E1096" s="2996">
        <v>7587713</v>
      </c>
    </row>
    <row r="1097" spans="1:6" s="2993" customFormat="1" ht="24">
      <c r="A1097" s="3204"/>
      <c r="B1097" s="2991" t="s">
        <v>4323</v>
      </c>
      <c r="C1097" s="2996">
        <v>84.49</v>
      </c>
      <c r="D1097" s="2993" t="s">
        <v>4487</v>
      </c>
      <c r="E1097" s="2996">
        <v>2534700</v>
      </c>
      <c r="F1097" s="2993">
        <f t="shared" ref="F1097:F1098" si="217">E1097/C1097</f>
        <v>30000</v>
      </c>
    </row>
    <row r="1098" spans="1:6" s="2993" customFormat="1">
      <c r="A1098" s="3204"/>
      <c r="B1098" s="2991" t="s">
        <v>4324</v>
      </c>
      <c r="C1098" s="2996">
        <v>84.17</v>
      </c>
      <c r="D1098" s="2993" t="s">
        <v>3252</v>
      </c>
      <c r="E1098" s="2996">
        <v>2525100</v>
      </c>
      <c r="F1098" s="2993">
        <f t="shared" si="217"/>
        <v>30000</v>
      </c>
    </row>
    <row r="1099" spans="1:6" s="2993" customFormat="1">
      <c r="A1099" s="3204"/>
      <c r="B1099" s="2991" t="s">
        <v>4325</v>
      </c>
      <c r="C1099" s="2994">
        <v>45.51</v>
      </c>
      <c r="D1099" s="2993" t="s">
        <v>3254</v>
      </c>
      <c r="E1099" s="3002">
        <v>420000</v>
      </c>
    </row>
    <row r="1100" spans="1:6" s="2993" customFormat="1">
      <c r="A1100" s="3204"/>
      <c r="B1100" s="2991" t="s">
        <v>4326</v>
      </c>
      <c r="C1100" s="2994">
        <v>45.51</v>
      </c>
      <c r="D1100" s="2993" t="s">
        <v>3254</v>
      </c>
      <c r="E1100" s="3002">
        <v>420000</v>
      </c>
    </row>
    <row r="1101" spans="1:6" s="2993" customFormat="1">
      <c r="A1101" s="3204">
        <v>222</v>
      </c>
      <c r="B1101" s="2991" t="s">
        <v>4327</v>
      </c>
      <c r="C1101" s="2996">
        <v>134.47</v>
      </c>
      <c r="D1101" s="2993" t="s">
        <v>3257</v>
      </c>
      <c r="E1101" s="2996">
        <v>7717461</v>
      </c>
    </row>
    <row r="1102" spans="1:6" s="2993" customFormat="1" ht="24">
      <c r="A1102" s="3204"/>
      <c r="B1102" s="2991" t="s">
        <v>4328</v>
      </c>
      <c r="C1102" s="2996">
        <v>84.77</v>
      </c>
      <c r="D1102" s="2993" t="s">
        <v>4487</v>
      </c>
      <c r="E1102" s="2996">
        <v>2543100</v>
      </c>
      <c r="F1102" s="2993">
        <f t="shared" ref="F1102:F1103" si="218">E1102/C1102</f>
        <v>30000</v>
      </c>
    </row>
    <row r="1103" spans="1:6" s="2993" customFormat="1">
      <c r="A1103" s="3204"/>
      <c r="B1103" s="2991" t="s">
        <v>4329</v>
      </c>
      <c r="C1103" s="2996">
        <v>84.17</v>
      </c>
      <c r="D1103" s="2993" t="s">
        <v>3252</v>
      </c>
      <c r="E1103" s="2996">
        <v>2525100</v>
      </c>
      <c r="F1103" s="2993">
        <f t="shared" si="218"/>
        <v>30000</v>
      </c>
    </row>
    <row r="1104" spans="1:6" s="2993" customFormat="1">
      <c r="A1104" s="3204"/>
      <c r="B1104" s="2991" t="s">
        <v>4330</v>
      </c>
      <c r="C1104" s="2994">
        <v>45.51</v>
      </c>
      <c r="D1104" s="2993" t="s">
        <v>3254</v>
      </c>
      <c r="E1104" s="3002">
        <v>420000</v>
      </c>
    </row>
    <row r="1105" spans="1:6" s="2993" customFormat="1">
      <c r="A1105" s="3204"/>
      <c r="B1105" s="2991" t="s">
        <v>4331</v>
      </c>
      <c r="C1105" s="2994">
        <v>45.51</v>
      </c>
      <c r="D1105" s="2993" t="s">
        <v>3254</v>
      </c>
      <c r="E1105" s="3002">
        <v>420000</v>
      </c>
    </row>
    <row r="1106" spans="1:6" s="2993" customFormat="1">
      <c r="A1106" s="3204">
        <v>223</v>
      </c>
      <c r="B1106" s="2991" t="s">
        <v>4332</v>
      </c>
      <c r="C1106" s="2996">
        <v>134.29</v>
      </c>
      <c r="D1106" s="2993" t="s">
        <v>3257</v>
      </c>
      <c r="E1106" s="2996">
        <v>8528489</v>
      </c>
    </row>
    <row r="1107" spans="1:6" s="2993" customFormat="1" ht="24">
      <c r="A1107" s="3204"/>
      <c r="B1107" s="2991" t="s">
        <v>4333</v>
      </c>
      <c r="C1107" s="2996">
        <v>84.35</v>
      </c>
      <c r="D1107" s="2993" t="s">
        <v>4487</v>
      </c>
      <c r="E1107" s="2996">
        <v>2530500</v>
      </c>
      <c r="F1107" s="2993">
        <f t="shared" ref="F1107:F1108" si="219">E1107/C1107</f>
        <v>30000.000000000004</v>
      </c>
    </row>
    <row r="1108" spans="1:6" s="2993" customFormat="1">
      <c r="A1108" s="3204"/>
      <c r="B1108" s="2991" t="s">
        <v>4334</v>
      </c>
      <c r="C1108" s="2996">
        <v>83.45</v>
      </c>
      <c r="D1108" s="2993" t="s">
        <v>3252</v>
      </c>
      <c r="E1108" s="2996">
        <v>2503500</v>
      </c>
      <c r="F1108" s="2993">
        <f t="shared" si="219"/>
        <v>30000</v>
      </c>
    </row>
    <row r="1109" spans="1:6" s="2993" customFormat="1">
      <c r="A1109" s="3204"/>
      <c r="B1109" s="2991" t="s">
        <v>4335</v>
      </c>
      <c r="C1109" s="2994">
        <v>45.51</v>
      </c>
      <c r="D1109" s="2993" t="s">
        <v>3254</v>
      </c>
      <c r="E1109" s="3002">
        <v>420000</v>
      </c>
    </row>
    <row r="1110" spans="1:6" s="2993" customFormat="1">
      <c r="A1110" s="3204"/>
      <c r="B1110" s="2991" t="s">
        <v>4336</v>
      </c>
      <c r="C1110" s="2994">
        <v>45.51</v>
      </c>
      <c r="D1110" s="2993" t="s">
        <v>3254</v>
      </c>
      <c r="E1110" s="3002">
        <v>420000</v>
      </c>
    </row>
    <row r="1111" spans="1:6" s="2993" customFormat="1">
      <c r="A1111" s="3204">
        <v>224</v>
      </c>
      <c r="B1111" s="2991" t="s">
        <v>4337</v>
      </c>
      <c r="C1111" s="2996">
        <v>134.28</v>
      </c>
      <c r="D1111" s="2993" t="s">
        <v>3257</v>
      </c>
      <c r="E1111" s="2996">
        <v>7785469</v>
      </c>
    </row>
    <row r="1112" spans="1:6" s="2993" customFormat="1" ht="24">
      <c r="A1112" s="3204"/>
      <c r="B1112" s="2991" t="s">
        <v>4338</v>
      </c>
      <c r="C1112" s="2996">
        <v>84.49</v>
      </c>
      <c r="D1112" s="2993" t="s">
        <v>4487</v>
      </c>
      <c r="E1112" s="2996">
        <v>2534700</v>
      </c>
      <c r="F1112" s="2993">
        <f t="shared" ref="F1112:F1113" si="220">E1112/C1112</f>
        <v>30000</v>
      </c>
    </row>
    <row r="1113" spans="1:6" s="2993" customFormat="1">
      <c r="A1113" s="3204"/>
      <c r="B1113" s="2991" t="s">
        <v>4339</v>
      </c>
      <c r="C1113" s="2996">
        <v>84.17</v>
      </c>
      <c r="D1113" s="2993" t="s">
        <v>3252</v>
      </c>
      <c r="E1113" s="2996">
        <v>2525100</v>
      </c>
      <c r="F1113" s="2993">
        <f t="shared" si="220"/>
        <v>30000</v>
      </c>
    </row>
    <row r="1114" spans="1:6" s="2993" customFormat="1">
      <c r="A1114" s="3204"/>
      <c r="B1114" s="2991" t="s">
        <v>4340</v>
      </c>
      <c r="C1114" s="2994">
        <v>45.51</v>
      </c>
      <c r="D1114" s="2993" t="s">
        <v>3254</v>
      </c>
      <c r="E1114" s="3002">
        <v>420000</v>
      </c>
    </row>
    <row r="1115" spans="1:6" s="2993" customFormat="1">
      <c r="A1115" s="3204"/>
      <c r="B1115" s="2991" t="s">
        <v>4341</v>
      </c>
      <c r="C1115" s="2994">
        <v>45.51</v>
      </c>
      <c r="D1115" s="2993" t="s">
        <v>3254</v>
      </c>
      <c r="E1115" s="3002">
        <v>420000</v>
      </c>
    </row>
    <row r="1116" spans="1:6" s="2993" customFormat="1">
      <c r="A1116" s="3204">
        <v>225</v>
      </c>
      <c r="B1116" s="2991" t="s">
        <v>4342</v>
      </c>
      <c r="C1116" s="2996">
        <v>134.47</v>
      </c>
      <c r="D1116" s="2993" t="s">
        <v>3257</v>
      </c>
      <c r="E1116" s="2996">
        <v>7941028</v>
      </c>
    </row>
    <row r="1117" spans="1:6" s="2993" customFormat="1" ht="24">
      <c r="A1117" s="3204"/>
      <c r="B1117" s="2991" t="s">
        <v>4343</v>
      </c>
      <c r="C1117" s="2996">
        <v>84.77</v>
      </c>
      <c r="D1117" s="2993" t="s">
        <v>4487</v>
      </c>
      <c r="E1117" s="2996">
        <v>2543100</v>
      </c>
      <c r="F1117" s="2993">
        <f t="shared" ref="F1117:F1118" si="221">E1117/C1117</f>
        <v>30000</v>
      </c>
    </row>
    <row r="1118" spans="1:6" s="2993" customFormat="1">
      <c r="A1118" s="3204"/>
      <c r="B1118" s="2991" t="s">
        <v>4344</v>
      </c>
      <c r="C1118" s="2996">
        <v>84.17</v>
      </c>
      <c r="D1118" s="2993" t="s">
        <v>3252</v>
      </c>
      <c r="E1118" s="2996">
        <v>2525100</v>
      </c>
      <c r="F1118" s="2993">
        <f t="shared" si="221"/>
        <v>30000</v>
      </c>
    </row>
    <row r="1119" spans="1:6" s="2993" customFormat="1">
      <c r="A1119" s="3204"/>
      <c r="B1119" s="2991" t="s">
        <v>4345</v>
      </c>
      <c r="C1119" s="2994">
        <v>45.51</v>
      </c>
      <c r="D1119" s="2993" t="s">
        <v>3254</v>
      </c>
      <c r="E1119" s="3002">
        <v>420000</v>
      </c>
    </row>
    <row r="1120" spans="1:6" s="2993" customFormat="1">
      <c r="A1120" s="3204"/>
      <c r="B1120" s="2991" t="s">
        <v>4346</v>
      </c>
      <c r="C1120" s="2994">
        <v>45.51</v>
      </c>
      <c r="D1120" s="2993" t="s">
        <v>3254</v>
      </c>
      <c r="E1120" s="3002">
        <v>420000</v>
      </c>
    </row>
    <row r="1121" spans="1:6" s="2993" customFormat="1">
      <c r="A1121" s="3204">
        <v>226</v>
      </c>
      <c r="B1121" s="2991" t="s">
        <v>4347</v>
      </c>
      <c r="C1121" s="2999">
        <v>134.63999999999999</v>
      </c>
      <c r="D1121" s="2993" t="s">
        <v>3257</v>
      </c>
      <c r="E1121" s="2996">
        <v>8550717</v>
      </c>
    </row>
    <row r="1122" spans="1:6" s="2993" customFormat="1" ht="24">
      <c r="A1122" s="3204"/>
      <c r="B1122" s="2991" t="s">
        <v>4348</v>
      </c>
      <c r="C1122" s="2996">
        <v>84.58</v>
      </c>
      <c r="D1122" s="2993" t="s">
        <v>4487</v>
      </c>
      <c r="E1122" s="2996">
        <v>2537400</v>
      </c>
      <c r="F1122" s="2993">
        <f t="shared" ref="F1122:F1123" si="222">E1122/C1122</f>
        <v>30000</v>
      </c>
    </row>
    <row r="1123" spans="1:6" s="2993" customFormat="1">
      <c r="A1123" s="3204"/>
      <c r="B1123" s="2991" t="s">
        <v>4349</v>
      </c>
      <c r="C1123" s="2996">
        <v>83.6</v>
      </c>
      <c r="D1123" s="2993" t="s">
        <v>3252</v>
      </c>
      <c r="E1123" s="2996">
        <v>2508000</v>
      </c>
      <c r="F1123" s="2993">
        <f t="shared" si="222"/>
        <v>30000.000000000004</v>
      </c>
    </row>
    <row r="1124" spans="1:6" s="2993" customFormat="1">
      <c r="A1124" s="3204"/>
      <c r="B1124" s="2991" t="s">
        <v>4350</v>
      </c>
      <c r="C1124" s="2994">
        <v>45.51</v>
      </c>
      <c r="D1124" s="2993" t="s">
        <v>3254</v>
      </c>
      <c r="E1124" s="3002">
        <v>420000</v>
      </c>
    </row>
    <row r="1125" spans="1:6" s="2993" customFormat="1">
      <c r="A1125" s="3204"/>
      <c r="B1125" s="2991" t="s">
        <v>4351</v>
      </c>
      <c r="C1125" s="2994">
        <v>45.51</v>
      </c>
      <c r="D1125" s="2993" t="s">
        <v>3254</v>
      </c>
      <c r="E1125" s="3002">
        <v>420000</v>
      </c>
    </row>
    <row r="1126" spans="1:6" s="2993" customFormat="1">
      <c r="A1126" s="3204">
        <v>227</v>
      </c>
      <c r="B1126" s="2991" t="s">
        <v>4352</v>
      </c>
      <c r="C1126" s="2996">
        <v>134.83000000000001</v>
      </c>
      <c r="D1126" s="2993" t="s">
        <v>3257</v>
      </c>
      <c r="E1126" s="2996">
        <v>7857276</v>
      </c>
    </row>
    <row r="1127" spans="1:6" s="2993" customFormat="1" ht="24">
      <c r="A1127" s="3204"/>
      <c r="B1127" s="2991" t="s">
        <v>4353</v>
      </c>
      <c r="C1127" s="2996">
        <v>85</v>
      </c>
      <c r="D1127" s="2993" t="s">
        <v>4487</v>
      </c>
      <c r="E1127" s="2996">
        <v>2550000</v>
      </c>
      <c r="F1127" s="2993">
        <f t="shared" ref="F1127:F1128" si="223">E1127/C1127</f>
        <v>30000</v>
      </c>
    </row>
    <row r="1128" spans="1:6" s="2993" customFormat="1">
      <c r="A1128" s="3204"/>
      <c r="B1128" s="2991" t="s">
        <v>4354</v>
      </c>
      <c r="C1128" s="2996">
        <v>84.32</v>
      </c>
      <c r="D1128" s="2993" t="s">
        <v>3252</v>
      </c>
      <c r="E1128" s="2996">
        <v>2529600</v>
      </c>
      <c r="F1128" s="2993">
        <f t="shared" si="223"/>
        <v>30000.000000000004</v>
      </c>
    </row>
    <row r="1129" spans="1:6" s="2993" customFormat="1">
      <c r="A1129" s="3204"/>
      <c r="B1129" s="2991" t="s">
        <v>4355</v>
      </c>
      <c r="C1129" s="2994">
        <v>45.51</v>
      </c>
      <c r="D1129" s="2993" t="s">
        <v>3254</v>
      </c>
      <c r="E1129" s="3002">
        <v>420000</v>
      </c>
    </row>
    <row r="1130" spans="1:6" s="2993" customFormat="1">
      <c r="A1130" s="3204"/>
      <c r="B1130" s="2991" t="s">
        <v>4356</v>
      </c>
      <c r="C1130" s="2994">
        <v>45.51</v>
      </c>
      <c r="D1130" s="2993" t="s">
        <v>3254</v>
      </c>
      <c r="E1130" s="3002">
        <v>420000</v>
      </c>
    </row>
    <row r="1131" spans="1:6" s="2993" customFormat="1">
      <c r="A1131" s="3204">
        <v>228</v>
      </c>
      <c r="B1131" s="2991" t="s">
        <v>4357</v>
      </c>
      <c r="C1131" s="2996">
        <v>134.83000000000001</v>
      </c>
      <c r="D1131" s="2993" t="s">
        <v>3257</v>
      </c>
      <c r="E1131" s="2996">
        <v>8055829</v>
      </c>
    </row>
    <row r="1132" spans="1:6" s="2993" customFormat="1" ht="24">
      <c r="A1132" s="3204"/>
      <c r="B1132" s="2991" t="s">
        <v>4358</v>
      </c>
      <c r="C1132" s="2996">
        <v>85</v>
      </c>
      <c r="D1132" s="2993" t="s">
        <v>4487</v>
      </c>
      <c r="E1132" s="2996">
        <v>2550000</v>
      </c>
      <c r="F1132" s="2993">
        <f t="shared" ref="F1132:F1133" si="224">E1132/C1132</f>
        <v>30000</v>
      </c>
    </row>
    <row r="1133" spans="1:6" s="2993" customFormat="1">
      <c r="A1133" s="3204"/>
      <c r="B1133" s="2991" t="s">
        <v>4359</v>
      </c>
      <c r="C1133" s="2996">
        <v>84.32</v>
      </c>
      <c r="D1133" s="2993" t="s">
        <v>3252</v>
      </c>
      <c r="E1133" s="2996">
        <v>2529600</v>
      </c>
      <c r="F1133" s="2993">
        <f t="shared" si="224"/>
        <v>30000.000000000004</v>
      </c>
    </row>
    <row r="1134" spans="1:6" s="2993" customFormat="1">
      <c r="A1134" s="3204"/>
      <c r="B1134" s="2991" t="s">
        <v>4360</v>
      </c>
      <c r="C1134" s="2994">
        <v>45.51</v>
      </c>
      <c r="D1134" s="2993" t="s">
        <v>3254</v>
      </c>
      <c r="E1134" s="3002">
        <v>420000</v>
      </c>
    </row>
    <row r="1135" spans="1:6" s="2993" customFormat="1">
      <c r="A1135" s="3204"/>
      <c r="B1135" s="2991" t="s">
        <v>4361</v>
      </c>
      <c r="C1135" s="2994">
        <v>45.51</v>
      </c>
      <c r="D1135" s="2993" t="s">
        <v>3254</v>
      </c>
      <c r="E1135" s="3002">
        <v>420000</v>
      </c>
    </row>
    <row r="1136" spans="1:6" s="2993" customFormat="1">
      <c r="A1136" s="3204">
        <v>229</v>
      </c>
      <c r="B1136" s="2991" t="s">
        <v>4362</v>
      </c>
      <c r="C1136" s="2999">
        <v>134.62</v>
      </c>
      <c r="D1136" s="2993" t="s">
        <v>3257</v>
      </c>
      <c r="E1136" s="2996">
        <v>8549447</v>
      </c>
    </row>
    <row r="1137" spans="1:6" s="2993" customFormat="1" ht="24">
      <c r="A1137" s="3204"/>
      <c r="B1137" s="2991" t="s">
        <v>4363</v>
      </c>
      <c r="C1137" s="2996">
        <v>84.56</v>
      </c>
      <c r="D1137" s="2993" t="s">
        <v>4487</v>
      </c>
      <c r="E1137" s="2996">
        <v>2536800</v>
      </c>
      <c r="F1137" s="2993">
        <f t="shared" ref="F1137:F1138" si="225">E1137/C1137</f>
        <v>30000</v>
      </c>
    </row>
    <row r="1138" spans="1:6" s="2993" customFormat="1">
      <c r="A1138" s="3204"/>
      <c r="B1138" s="2991" t="s">
        <v>4364</v>
      </c>
      <c r="C1138" s="2996">
        <v>83.6</v>
      </c>
      <c r="D1138" s="2993" t="s">
        <v>3252</v>
      </c>
      <c r="E1138" s="2996">
        <v>2508000</v>
      </c>
      <c r="F1138" s="2993">
        <f t="shared" si="225"/>
        <v>30000.000000000004</v>
      </c>
    </row>
    <row r="1139" spans="1:6" s="2993" customFormat="1">
      <c r="A1139" s="3204"/>
      <c r="B1139" s="2991" t="s">
        <v>4365</v>
      </c>
      <c r="C1139" s="2994">
        <v>45.51</v>
      </c>
      <c r="D1139" s="2993" t="s">
        <v>3254</v>
      </c>
      <c r="E1139" s="3002">
        <v>420000</v>
      </c>
    </row>
    <row r="1140" spans="1:6" s="2993" customFormat="1">
      <c r="A1140" s="3204"/>
      <c r="B1140" s="2991" t="s">
        <v>4366</v>
      </c>
      <c r="C1140" s="2994">
        <v>45.51</v>
      </c>
      <c r="D1140" s="2993" t="s">
        <v>3254</v>
      </c>
      <c r="E1140" s="3002">
        <v>420000</v>
      </c>
    </row>
    <row r="1141" spans="1:6" s="2993" customFormat="1">
      <c r="A1141" s="3204">
        <v>230</v>
      </c>
      <c r="B1141" s="2991" t="s">
        <v>4367</v>
      </c>
      <c r="C1141" s="2996">
        <v>134.81</v>
      </c>
      <c r="D1141" s="2993" t="s">
        <v>3257</v>
      </c>
      <c r="E1141" s="2996">
        <v>7736996</v>
      </c>
    </row>
    <row r="1142" spans="1:6" s="2993" customFormat="1" ht="24">
      <c r="A1142" s="3204"/>
      <c r="B1142" s="2991" t="s">
        <v>4368</v>
      </c>
      <c r="C1142" s="2996">
        <v>84.98</v>
      </c>
      <c r="D1142" s="2993" t="s">
        <v>4487</v>
      </c>
      <c r="E1142" s="2996">
        <v>2549400</v>
      </c>
      <c r="F1142" s="2993">
        <f t="shared" ref="F1142:F1143" si="226">E1142/C1142</f>
        <v>30000</v>
      </c>
    </row>
    <row r="1143" spans="1:6" s="2993" customFormat="1">
      <c r="A1143" s="3204"/>
      <c r="B1143" s="2991" t="s">
        <v>4369</v>
      </c>
      <c r="C1143" s="2996">
        <v>84.32</v>
      </c>
      <c r="D1143" s="2993" t="s">
        <v>3252</v>
      </c>
      <c r="E1143" s="2996">
        <v>2529600</v>
      </c>
      <c r="F1143" s="2993">
        <f t="shared" si="226"/>
        <v>30000.000000000004</v>
      </c>
    </row>
    <row r="1144" spans="1:6" s="2993" customFormat="1">
      <c r="A1144" s="3204"/>
      <c r="B1144" s="2991" t="s">
        <v>4370</v>
      </c>
      <c r="C1144" s="2994">
        <v>45.51</v>
      </c>
      <c r="D1144" s="2993" t="s">
        <v>3254</v>
      </c>
      <c r="E1144" s="3002">
        <v>420000</v>
      </c>
    </row>
    <row r="1145" spans="1:6" s="2993" customFormat="1">
      <c r="A1145" s="3204"/>
      <c r="B1145" s="2991" t="s">
        <v>4371</v>
      </c>
      <c r="C1145" s="2994">
        <v>45.51</v>
      </c>
      <c r="D1145" s="2993" t="s">
        <v>3254</v>
      </c>
      <c r="E1145" s="3002">
        <v>420000</v>
      </c>
    </row>
    <row r="1146" spans="1:6" s="3000" customFormat="1">
      <c r="A1146" s="3204">
        <v>231</v>
      </c>
      <c r="B1146" s="2991" t="s">
        <v>4372</v>
      </c>
      <c r="C1146" s="2996">
        <v>134.62</v>
      </c>
      <c r="D1146" s="2993" t="s">
        <v>3257</v>
      </c>
      <c r="E1146" s="2996">
        <v>8549447</v>
      </c>
    </row>
    <row r="1147" spans="1:6" s="3000" customFormat="1" ht="24">
      <c r="A1147" s="3204"/>
      <c r="B1147" s="2991" t="s">
        <v>4373</v>
      </c>
      <c r="C1147" s="2996">
        <v>84.56</v>
      </c>
      <c r="D1147" s="2993" t="s">
        <v>4487</v>
      </c>
      <c r="E1147" s="2996">
        <v>2536800</v>
      </c>
      <c r="F1147" s="2993">
        <f t="shared" ref="F1147:F1148" si="227">E1147/C1147</f>
        <v>30000</v>
      </c>
    </row>
    <row r="1148" spans="1:6" s="3000" customFormat="1">
      <c r="A1148" s="3204"/>
      <c r="B1148" s="2991" t="s">
        <v>4374</v>
      </c>
      <c r="C1148" s="2996">
        <v>83.6</v>
      </c>
      <c r="D1148" s="2993" t="s">
        <v>3252</v>
      </c>
      <c r="E1148" s="2996">
        <v>2508000</v>
      </c>
      <c r="F1148" s="2993">
        <f t="shared" si="227"/>
        <v>30000.000000000004</v>
      </c>
    </row>
    <row r="1149" spans="1:6" s="3000" customFormat="1">
      <c r="A1149" s="3204"/>
      <c r="B1149" s="2991" t="s">
        <v>4375</v>
      </c>
      <c r="C1149" s="2994">
        <v>45.51</v>
      </c>
      <c r="D1149" s="2993" t="s">
        <v>3254</v>
      </c>
      <c r="E1149" s="3002">
        <v>420000</v>
      </c>
    </row>
    <row r="1150" spans="1:6" s="3000" customFormat="1">
      <c r="A1150" s="3204"/>
      <c r="B1150" s="2991" t="s">
        <v>4376</v>
      </c>
      <c r="C1150" s="2994">
        <v>45.51</v>
      </c>
      <c r="D1150" s="2993" t="s">
        <v>4377</v>
      </c>
      <c r="E1150" s="3002">
        <v>420000</v>
      </c>
    </row>
    <row r="1151" spans="1:6" s="3000" customFormat="1">
      <c r="A1151" s="3204">
        <v>232</v>
      </c>
      <c r="B1151" s="2991" t="s">
        <v>4378</v>
      </c>
      <c r="C1151" s="2996">
        <v>134.81</v>
      </c>
      <c r="D1151" s="2993" t="s">
        <v>4379</v>
      </c>
      <c r="E1151" s="2996">
        <v>7935521</v>
      </c>
    </row>
    <row r="1152" spans="1:6" s="3000" customFormat="1" ht="24">
      <c r="A1152" s="3204"/>
      <c r="B1152" s="2991" t="s">
        <v>4380</v>
      </c>
      <c r="C1152" s="2996">
        <v>84.98</v>
      </c>
      <c r="D1152" s="2993" t="s">
        <v>4487</v>
      </c>
      <c r="E1152" s="2996">
        <v>2549400</v>
      </c>
      <c r="F1152" s="2993">
        <f t="shared" ref="F1152:F1153" si="228">E1152/C1152</f>
        <v>30000</v>
      </c>
    </row>
    <row r="1153" spans="1:6" s="3000" customFormat="1">
      <c r="A1153" s="3204"/>
      <c r="B1153" s="2991" t="s">
        <v>4381</v>
      </c>
      <c r="C1153" s="2996">
        <v>84.32</v>
      </c>
      <c r="D1153" s="2993" t="s">
        <v>4382</v>
      </c>
      <c r="E1153" s="2996">
        <v>2529600</v>
      </c>
      <c r="F1153" s="2993">
        <f t="shared" si="228"/>
        <v>30000.000000000004</v>
      </c>
    </row>
    <row r="1154" spans="1:6" s="3000" customFormat="1">
      <c r="A1154" s="3204"/>
      <c r="B1154" s="2991" t="s">
        <v>4383</v>
      </c>
      <c r="C1154" s="2994">
        <v>45.51</v>
      </c>
      <c r="D1154" s="2993" t="s">
        <v>4377</v>
      </c>
      <c r="E1154" s="3002">
        <v>420000</v>
      </c>
    </row>
    <row r="1155" spans="1:6" s="3000" customFormat="1">
      <c r="A1155" s="3204"/>
      <c r="B1155" s="2991" t="s">
        <v>4384</v>
      </c>
      <c r="C1155" s="2994">
        <v>45.51</v>
      </c>
      <c r="D1155" s="2993" t="s">
        <v>4377</v>
      </c>
      <c r="E1155" s="3002">
        <v>420000</v>
      </c>
    </row>
    <row r="1156" spans="1:6">
      <c r="A1156" s="3204">
        <v>233</v>
      </c>
      <c r="B1156" s="2991" t="s">
        <v>4385</v>
      </c>
      <c r="C1156" s="2996">
        <v>134.22999999999999</v>
      </c>
      <c r="D1156" s="2993" t="s">
        <v>4379</v>
      </c>
      <c r="E1156" s="2996">
        <v>8524679</v>
      </c>
    </row>
    <row r="1157" spans="1:6" ht="24">
      <c r="A1157" s="3204"/>
      <c r="B1157" s="2991" t="s">
        <v>4386</v>
      </c>
      <c r="C1157" s="2996">
        <v>84.32</v>
      </c>
      <c r="D1157" s="2993" t="s">
        <v>4487</v>
      </c>
      <c r="E1157" s="2996">
        <v>2529600</v>
      </c>
      <c r="F1157" s="2993">
        <f t="shared" ref="F1157:F1158" si="229">E1157/C1157</f>
        <v>30000.000000000004</v>
      </c>
    </row>
    <row r="1158" spans="1:6">
      <c r="A1158" s="3204"/>
      <c r="B1158" s="2991" t="s">
        <v>4387</v>
      </c>
      <c r="C1158" s="2996">
        <v>83.44</v>
      </c>
      <c r="D1158" s="2993" t="s">
        <v>4382</v>
      </c>
      <c r="E1158" s="2996">
        <v>2503200</v>
      </c>
      <c r="F1158" s="2993">
        <f t="shared" si="229"/>
        <v>30000</v>
      </c>
    </row>
    <row r="1159" spans="1:6">
      <c r="A1159" s="3204"/>
      <c r="B1159" s="2991" t="s">
        <v>4388</v>
      </c>
      <c r="C1159" s="2994">
        <v>45.51</v>
      </c>
      <c r="D1159" s="2993" t="s">
        <v>4377</v>
      </c>
      <c r="E1159" s="3002">
        <v>420000</v>
      </c>
    </row>
    <row r="1160" spans="1:6">
      <c r="A1160" s="3204"/>
      <c r="B1160" s="2991" t="s">
        <v>4389</v>
      </c>
      <c r="C1160" s="2994">
        <v>45.51</v>
      </c>
      <c r="D1160" s="2993" t="s">
        <v>4377</v>
      </c>
      <c r="E1160" s="3002">
        <v>420000</v>
      </c>
    </row>
    <row r="1161" spans="1:6">
      <c r="A1161" s="3204">
        <v>234</v>
      </c>
      <c r="B1161" s="2991" t="s">
        <v>4390</v>
      </c>
      <c r="C1161" s="2996">
        <v>134.22999999999999</v>
      </c>
      <c r="D1161" s="2993" t="s">
        <v>4379</v>
      </c>
      <c r="E1161" s="2996">
        <v>7584849</v>
      </c>
    </row>
    <row r="1162" spans="1:6" ht="24">
      <c r="A1162" s="3204"/>
      <c r="B1162" s="2991" t="s">
        <v>4391</v>
      </c>
      <c r="C1162" s="2996">
        <v>84.46</v>
      </c>
      <c r="D1162" s="2993" t="s">
        <v>4487</v>
      </c>
      <c r="E1162" s="2996">
        <v>2533800</v>
      </c>
      <c r="F1162" s="2993">
        <f t="shared" ref="F1162:F1163" si="230">E1162/C1162</f>
        <v>30000.000000000004</v>
      </c>
    </row>
    <row r="1163" spans="1:6">
      <c r="A1163" s="3204"/>
      <c r="B1163" s="2991" t="s">
        <v>4392</v>
      </c>
      <c r="C1163" s="2996">
        <v>84.16</v>
      </c>
      <c r="D1163" s="2993" t="s">
        <v>4382</v>
      </c>
      <c r="E1163" s="2996">
        <v>2524800</v>
      </c>
      <c r="F1163" s="2993">
        <f t="shared" si="230"/>
        <v>30000</v>
      </c>
    </row>
    <row r="1164" spans="1:6">
      <c r="A1164" s="3204"/>
      <c r="B1164" s="2991" t="s">
        <v>4393</v>
      </c>
      <c r="C1164" s="2994">
        <v>45.51</v>
      </c>
      <c r="D1164" s="2993" t="s">
        <v>4377</v>
      </c>
      <c r="E1164" s="3002">
        <v>420000</v>
      </c>
    </row>
    <row r="1165" spans="1:6">
      <c r="A1165" s="3204"/>
      <c r="B1165" s="2991" t="s">
        <v>4394</v>
      </c>
      <c r="C1165" s="2994">
        <v>45.51</v>
      </c>
      <c r="D1165" s="2993" t="s">
        <v>4377</v>
      </c>
      <c r="E1165" s="3002">
        <v>420000</v>
      </c>
    </row>
    <row r="1166" spans="1:6">
      <c r="A1166" s="3204">
        <v>235</v>
      </c>
      <c r="B1166" s="2991" t="s">
        <v>4395</v>
      </c>
      <c r="C1166" s="2996">
        <v>134.43</v>
      </c>
      <c r="D1166" s="2993" t="s">
        <v>4379</v>
      </c>
      <c r="E1166" s="2996">
        <v>7715165</v>
      </c>
    </row>
    <row r="1167" spans="1:6" ht="24">
      <c r="A1167" s="3204"/>
      <c r="B1167" s="2991" t="s">
        <v>4396</v>
      </c>
      <c r="C1167" s="2996">
        <v>84.73</v>
      </c>
      <c r="D1167" s="2993" t="s">
        <v>4487</v>
      </c>
      <c r="E1167" s="2996">
        <v>2541900</v>
      </c>
      <c r="F1167" s="2993">
        <f t="shared" ref="F1167:F1168" si="231">E1167/C1167</f>
        <v>30000</v>
      </c>
    </row>
    <row r="1168" spans="1:6">
      <c r="A1168" s="3204"/>
      <c r="B1168" s="2991" t="s">
        <v>4397</v>
      </c>
      <c r="C1168" s="2996">
        <v>84.16</v>
      </c>
      <c r="D1168" s="2993" t="s">
        <v>4382</v>
      </c>
      <c r="E1168" s="2996">
        <v>2524800</v>
      </c>
      <c r="F1168" s="2993">
        <f t="shared" si="231"/>
        <v>30000</v>
      </c>
    </row>
    <row r="1169" spans="1:6">
      <c r="A1169" s="3204"/>
      <c r="B1169" s="2991" t="s">
        <v>4398</v>
      </c>
      <c r="C1169" s="2994">
        <v>45.51</v>
      </c>
      <c r="D1169" s="2993" t="s">
        <v>4377</v>
      </c>
      <c r="E1169" s="3002">
        <v>420000</v>
      </c>
    </row>
    <row r="1170" spans="1:6">
      <c r="A1170" s="3204"/>
      <c r="B1170" s="2991" t="s">
        <v>4399</v>
      </c>
      <c r="C1170" s="2994">
        <v>45.51</v>
      </c>
      <c r="D1170" s="2993" t="s">
        <v>4377</v>
      </c>
      <c r="E1170" s="3002">
        <v>420000</v>
      </c>
    </row>
    <row r="1171" spans="1:6">
      <c r="A1171" s="3204">
        <v>236</v>
      </c>
      <c r="B1171" s="2991" t="s">
        <v>4400</v>
      </c>
      <c r="C1171" s="2996">
        <v>134.22999999999999</v>
      </c>
      <c r="D1171" s="2993" t="s">
        <v>4379</v>
      </c>
      <c r="E1171" s="2996">
        <v>8524679</v>
      </c>
    </row>
    <row r="1172" spans="1:6" ht="24">
      <c r="A1172" s="3204"/>
      <c r="B1172" s="2991" t="s">
        <v>4401</v>
      </c>
      <c r="C1172" s="2996">
        <v>84.32</v>
      </c>
      <c r="D1172" s="2993" t="s">
        <v>4487</v>
      </c>
      <c r="E1172" s="2996">
        <v>2529600</v>
      </c>
      <c r="F1172" s="2993">
        <f t="shared" ref="F1172:F1173" si="232">E1172/C1172</f>
        <v>30000.000000000004</v>
      </c>
    </row>
    <row r="1173" spans="1:6">
      <c r="A1173" s="3204"/>
      <c r="B1173" s="2991" t="s">
        <v>4402</v>
      </c>
      <c r="C1173" s="2996">
        <v>83.44</v>
      </c>
      <c r="D1173" s="2993" t="s">
        <v>4382</v>
      </c>
      <c r="E1173" s="2996">
        <v>2503200</v>
      </c>
      <c r="F1173" s="2993">
        <f t="shared" si="232"/>
        <v>30000</v>
      </c>
    </row>
    <row r="1174" spans="1:6">
      <c r="A1174" s="3204"/>
      <c r="B1174" s="2991" t="s">
        <v>4403</v>
      </c>
      <c r="C1174" s="2994">
        <v>45.51</v>
      </c>
      <c r="D1174" s="2993" t="s">
        <v>4377</v>
      </c>
      <c r="E1174" s="3002">
        <v>420000</v>
      </c>
    </row>
    <row r="1175" spans="1:6">
      <c r="A1175" s="3204"/>
      <c r="B1175" s="2991" t="s">
        <v>4404</v>
      </c>
      <c r="C1175" s="2994">
        <v>45.51</v>
      </c>
      <c r="D1175" s="2993" t="s">
        <v>4377</v>
      </c>
      <c r="E1175" s="3002">
        <v>420000</v>
      </c>
    </row>
    <row r="1176" spans="1:6">
      <c r="A1176" s="3204">
        <v>237</v>
      </c>
      <c r="B1176" s="2991" t="s">
        <v>4405</v>
      </c>
      <c r="C1176" s="2996">
        <v>134.22999999999999</v>
      </c>
      <c r="D1176" s="2993" t="s">
        <v>4379</v>
      </c>
      <c r="E1176" s="2996">
        <v>7782542</v>
      </c>
    </row>
    <row r="1177" spans="1:6" ht="24">
      <c r="A1177" s="3204"/>
      <c r="B1177" s="2991" t="s">
        <v>4406</v>
      </c>
      <c r="C1177" s="2996">
        <v>84.46</v>
      </c>
      <c r="D1177" s="2993" t="s">
        <v>4487</v>
      </c>
      <c r="E1177" s="2996">
        <v>2533800</v>
      </c>
      <c r="F1177" s="2993">
        <f t="shared" ref="F1177:F1178" si="233">E1177/C1177</f>
        <v>30000.000000000004</v>
      </c>
    </row>
    <row r="1178" spans="1:6">
      <c r="A1178" s="3204"/>
      <c r="B1178" s="2991" t="s">
        <v>4407</v>
      </c>
      <c r="C1178" s="2996">
        <v>84.16</v>
      </c>
      <c r="D1178" s="2993" t="s">
        <v>4382</v>
      </c>
      <c r="E1178" s="2996">
        <v>2524800</v>
      </c>
      <c r="F1178" s="2993">
        <f t="shared" si="233"/>
        <v>30000</v>
      </c>
    </row>
    <row r="1179" spans="1:6">
      <c r="A1179" s="3204"/>
      <c r="B1179" s="2991" t="s">
        <v>4408</v>
      </c>
      <c r="C1179" s="2994">
        <v>45.51</v>
      </c>
      <c r="D1179" s="2993" t="s">
        <v>4377</v>
      </c>
      <c r="E1179" s="3002">
        <v>420000</v>
      </c>
    </row>
    <row r="1180" spans="1:6">
      <c r="A1180" s="3204"/>
      <c r="B1180" s="2991" t="s">
        <v>4409</v>
      </c>
      <c r="C1180" s="2994">
        <v>45.51</v>
      </c>
      <c r="D1180" s="2993" t="s">
        <v>4377</v>
      </c>
      <c r="E1180" s="3002">
        <v>420000</v>
      </c>
    </row>
    <row r="1181" spans="1:6">
      <c r="A1181" s="3204">
        <v>238</v>
      </c>
      <c r="B1181" s="2991" t="s">
        <v>4410</v>
      </c>
      <c r="C1181" s="2996">
        <v>134.43</v>
      </c>
      <c r="D1181" s="2993" t="s">
        <v>4379</v>
      </c>
      <c r="E1181" s="2996">
        <v>7913161</v>
      </c>
    </row>
    <row r="1182" spans="1:6" ht="24">
      <c r="A1182" s="3204"/>
      <c r="B1182" s="2991" t="s">
        <v>4411</v>
      </c>
      <c r="C1182" s="2996">
        <v>84.73</v>
      </c>
      <c r="D1182" s="2993" t="s">
        <v>4487</v>
      </c>
      <c r="E1182" s="2996">
        <v>2541900</v>
      </c>
      <c r="F1182" s="2993">
        <f t="shared" ref="F1182:F1183" si="234">E1182/C1182</f>
        <v>30000</v>
      </c>
    </row>
    <row r="1183" spans="1:6">
      <c r="A1183" s="3204"/>
      <c r="B1183" s="2991" t="s">
        <v>4412</v>
      </c>
      <c r="C1183" s="2996">
        <v>84.16</v>
      </c>
      <c r="D1183" s="2993" t="s">
        <v>4382</v>
      </c>
      <c r="E1183" s="2996">
        <v>2524800</v>
      </c>
      <c r="F1183" s="2993">
        <f t="shared" si="234"/>
        <v>30000</v>
      </c>
    </row>
    <row r="1184" spans="1:6">
      <c r="A1184" s="3204"/>
      <c r="B1184" s="2991" t="s">
        <v>4413</v>
      </c>
      <c r="C1184" s="2994">
        <v>45.51</v>
      </c>
      <c r="D1184" s="2993" t="s">
        <v>4377</v>
      </c>
      <c r="E1184" s="3002">
        <v>420000</v>
      </c>
    </row>
    <row r="1185" spans="1:8">
      <c r="A1185" s="3204"/>
      <c r="B1185" s="2991" t="s">
        <v>4414</v>
      </c>
      <c r="C1185" s="2994">
        <v>45.51</v>
      </c>
      <c r="D1185" s="2993" t="s">
        <v>4377</v>
      </c>
      <c r="E1185" s="3002">
        <v>420000</v>
      </c>
    </row>
    <row r="1186" spans="1:8">
      <c r="A1186" s="3211">
        <v>239</v>
      </c>
      <c r="B1186" s="2991" t="s">
        <v>4503</v>
      </c>
      <c r="C1186" s="3032">
        <v>178.48</v>
      </c>
      <c r="D1186" s="2993" t="s">
        <v>4379</v>
      </c>
      <c r="E1186" s="3001">
        <f>SUM(E2:E1185)</f>
        <v>3360773884</v>
      </c>
    </row>
    <row r="1187" spans="1:8" ht="24">
      <c r="A1187" s="3211"/>
      <c r="B1187" s="2991" t="s">
        <v>4504</v>
      </c>
      <c r="C1187" s="3032">
        <v>114.69</v>
      </c>
      <c r="D1187" s="2993" t="s">
        <v>4487</v>
      </c>
    </row>
    <row r="1188" spans="1:8">
      <c r="A1188" s="3211"/>
      <c r="B1188" s="2991" t="s">
        <v>4505</v>
      </c>
      <c r="C1188" s="3032">
        <v>114.22</v>
      </c>
      <c r="D1188" s="2993" t="s">
        <v>4382</v>
      </c>
    </row>
    <row r="1189" spans="1:8">
      <c r="A1189" s="3206">
        <v>240</v>
      </c>
      <c r="B1189" s="2991" t="s">
        <v>4506</v>
      </c>
      <c r="C1189" s="3032">
        <v>178.48</v>
      </c>
      <c r="D1189" s="2993" t="s">
        <v>4377</v>
      </c>
    </row>
    <row r="1190" spans="1:8" ht="24">
      <c r="A1190" s="3207"/>
      <c r="B1190" s="2991" t="s">
        <v>4507</v>
      </c>
      <c r="C1190" s="3032">
        <v>114.69</v>
      </c>
      <c r="D1190" s="2993" t="s">
        <v>4377</v>
      </c>
    </row>
    <row r="1191" spans="1:8">
      <c r="A1191" s="3208"/>
      <c r="B1191" s="2991" t="s">
        <v>4508</v>
      </c>
      <c r="C1191" s="3032">
        <v>114.22</v>
      </c>
      <c r="D1191" s="2993" t="s">
        <v>4379</v>
      </c>
    </row>
    <row r="1192" spans="1:8">
      <c r="A1192" s="3206">
        <v>241</v>
      </c>
      <c r="B1192" s="2991" t="s">
        <v>4509</v>
      </c>
      <c r="C1192" s="3032">
        <v>178.71</v>
      </c>
      <c r="D1192" s="2993" t="s">
        <v>4487</v>
      </c>
    </row>
    <row r="1193" spans="1:8" ht="24">
      <c r="A1193" s="3207"/>
      <c r="B1193" s="2991" t="s">
        <v>4504</v>
      </c>
      <c r="C1193" s="3032">
        <v>114.94</v>
      </c>
      <c r="D1193" s="2993" t="s">
        <v>4382</v>
      </c>
    </row>
    <row r="1194" spans="1:8">
      <c r="A1194" s="3208"/>
      <c r="B1194" s="2991" t="s">
        <v>4510</v>
      </c>
      <c r="C1194" s="3032">
        <v>115.02</v>
      </c>
      <c r="D1194" s="2993" t="s">
        <v>4377</v>
      </c>
    </row>
    <row r="1195" spans="1:8">
      <c r="A1195" s="3209" t="s">
        <v>4511</v>
      </c>
      <c r="B1195" s="3210"/>
      <c r="C1195" s="3003">
        <f>SUM(C2:C1194)</f>
        <v>95930.759999999296</v>
      </c>
      <c r="D1195" s="2993" t="s">
        <v>4377</v>
      </c>
    </row>
    <row r="1196" spans="1:8">
      <c r="A1196" s="3029"/>
      <c r="B1196" s="3042"/>
      <c r="C1196" s="3030"/>
    </row>
    <row r="1197" spans="1:8">
      <c r="A1197" s="3029"/>
      <c r="B1197" s="3042"/>
      <c r="C1197" s="3030"/>
    </row>
    <row r="1200" spans="1:8">
      <c r="B1200" s="3003" t="s">
        <v>4415</v>
      </c>
      <c r="C1200" s="3003" t="s">
        <v>4416</v>
      </c>
      <c r="D1200" s="1313" t="s">
        <v>4417</v>
      </c>
      <c r="E1200" s="1313" t="s">
        <v>4537</v>
      </c>
      <c r="F1200" s="1313" t="s">
        <v>4540</v>
      </c>
      <c r="G1200" s="1313" t="s">
        <v>4538</v>
      </c>
      <c r="H1200" s="1313" t="s">
        <v>4539</v>
      </c>
    </row>
    <row r="1201" spans="2:8">
      <c r="B1201" s="3003" t="s">
        <v>3257</v>
      </c>
      <c r="C1201" s="3003">
        <v>32718.36</v>
      </c>
      <c r="D1201" s="1313">
        <v>239</v>
      </c>
      <c r="E1201" s="1313">
        <v>32182.69</v>
      </c>
      <c r="F1201" s="1313">
        <f>1934998084/10000</f>
        <v>193499.80840000001</v>
      </c>
      <c r="G1201" s="1313">
        <v>236</v>
      </c>
      <c r="H1201" s="1313">
        <f>ROUND(F1201/E1201*10000,0)</f>
        <v>60125</v>
      </c>
    </row>
    <row r="1202" spans="2:8">
      <c r="B1202" s="3003" t="s">
        <v>4418</v>
      </c>
      <c r="C1202" s="3003">
        <v>41549.64</v>
      </c>
      <c r="D1202" s="1313">
        <f>D1201*2</f>
        <v>478</v>
      </c>
      <c r="E1202" s="1313">
        <v>40861.86</v>
      </c>
      <c r="F1202" s="1313">
        <f>3*E1202</f>
        <v>122585.58</v>
      </c>
      <c r="G1202" s="1313">
        <f>G1201*2</f>
        <v>472</v>
      </c>
      <c r="H1202" s="1313">
        <v>30000</v>
      </c>
    </row>
    <row r="1203" spans="2:8">
      <c r="B1203" s="3003" t="s">
        <v>4419</v>
      </c>
      <c r="C1203" s="3003">
        <v>21662.76</v>
      </c>
      <c r="D1203" s="1313">
        <v>476</v>
      </c>
      <c r="E1203" s="1313">
        <f>C1203</f>
        <v>21662.76</v>
      </c>
      <c r="F1203" s="1313">
        <f>42*D1203</f>
        <v>19992</v>
      </c>
      <c r="G1203" s="1313">
        <f>D1203</f>
        <v>476</v>
      </c>
      <c r="H1203" s="1313">
        <f>ROUND(F1203/E1203*10000,0)</f>
        <v>9229</v>
      </c>
    </row>
    <row r="1204" spans="2:8">
      <c r="B1204" s="3003" t="s">
        <v>4420</v>
      </c>
      <c r="C1204" s="3003">
        <f>SUM(C1201:C1203)</f>
        <v>95930.76</v>
      </c>
      <c r="D1204" s="1313"/>
      <c r="E1204" s="1313">
        <f>SUBTOTAL(9,E1201:E1203)</f>
        <v>94707.31</v>
      </c>
      <c r="F1204" s="1313">
        <f>SUBTOTAL(9,F1201:F1203)</f>
        <v>336077.3884</v>
      </c>
      <c r="G1204" s="1313" t="s">
        <v>4541</v>
      </c>
      <c r="H1204" s="1313" t="s">
        <v>4541</v>
      </c>
    </row>
  </sheetData>
  <autoFilter ref="A1:O1195"/>
  <mergeCells count="242">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146:A150"/>
    <mergeCell ref="A151:A155"/>
    <mergeCell ref="A156:A160"/>
    <mergeCell ref="A161:A165"/>
    <mergeCell ref="A166:A170"/>
    <mergeCell ref="A171:A175"/>
    <mergeCell ref="A116:A120"/>
    <mergeCell ref="A121:A125"/>
    <mergeCell ref="A126:A130"/>
    <mergeCell ref="A131:A135"/>
    <mergeCell ref="A136:A140"/>
    <mergeCell ref="A141:A145"/>
    <mergeCell ref="A89:A93"/>
    <mergeCell ref="A94:A98"/>
    <mergeCell ref="A99:A103"/>
    <mergeCell ref="A104:A108"/>
    <mergeCell ref="A109:A110"/>
    <mergeCell ref="A111:A115"/>
    <mergeCell ref="A59:A63"/>
    <mergeCell ref="A64:A68"/>
    <mergeCell ref="A69:A73"/>
    <mergeCell ref="A74:A78"/>
    <mergeCell ref="A79:A83"/>
    <mergeCell ref="A84:A88"/>
    <mergeCell ref="A32:A36"/>
    <mergeCell ref="A37:A41"/>
    <mergeCell ref="A42:A46"/>
    <mergeCell ref="A47:A48"/>
    <mergeCell ref="A49:A53"/>
    <mergeCell ref="A54:A58"/>
    <mergeCell ref="A2:A6"/>
    <mergeCell ref="A7:A11"/>
    <mergeCell ref="A12:A16"/>
    <mergeCell ref="A17:A21"/>
    <mergeCell ref="A22:A26"/>
    <mergeCell ref="A27:A31"/>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0"/>
  <sheetViews>
    <sheetView workbookViewId="0">
      <pane ySplit="1" topLeftCell="A87" activePane="bottomLeft" state="frozen"/>
      <selection activeCell="D1" sqref="D1"/>
      <selection pane="bottomLeft" activeCell="I96" sqref="I96"/>
    </sheetView>
  </sheetViews>
  <sheetFormatPr defaultRowHeight="14.4"/>
  <cols>
    <col min="4" max="4" width="9" style="2939"/>
    <col min="5" max="6" width="11.88671875" bestFit="1" customWidth="1"/>
    <col min="8" max="8" width="11.88671875" bestFit="1" customWidth="1"/>
    <col min="10" max="11" width="11.88671875" bestFit="1" customWidth="1"/>
    <col min="12" max="12" width="11.88671875" customWidth="1"/>
    <col min="13" max="13" width="11.88671875" bestFit="1" customWidth="1"/>
    <col min="15" max="15" width="16.77734375" style="3" customWidth="1"/>
  </cols>
  <sheetData>
    <row r="1" spans="1:15" ht="17.399999999999999">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6.4">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215" t="s">
        <v>3058</v>
      </c>
      <c r="B85" s="3215"/>
      <c r="C85" s="3215"/>
      <c r="D85" s="3215"/>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6.4">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4445</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215" t="s">
        <v>3059</v>
      </c>
      <c r="B93" s="3215"/>
      <c r="C93" s="3215"/>
      <c r="D93" s="3215"/>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7.6">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215" t="s">
        <v>3063</v>
      </c>
      <c r="B97" s="3215"/>
      <c r="C97" s="3215"/>
      <c r="D97" s="3215"/>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7.6">
      <c r="A98" s="2943">
        <v>88</v>
      </c>
      <c r="B98" s="2943"/>
      <c r="C98" s="2942" t="s">
        <v>3045</v>
      </c>
      <c r="D98" s="2944" t="s">
        <v>3055</v>
      </c>
      <c r="E98" s="2943">
        <v>191.08</v>
      </c>
      <c r="F98" s="2943"/>
      <c r="G98" s="2943">
        <v>115.66</v>
      </c>
      <c r="H98" s="2943"/>
      <c r="I98" s="2943"/>
      <c r="J98" s="2943"/>
      <c r="K98" s="2943"/>
      <c r="L98" s="2943"/>
      <c r="M98" s="2943"/>
      <c r="N98" s="2943">
        <f t="shared" si="3"/>
        <v>306.74</v>
      </c>
      <c r="O98" s="2947" t="s">
        <v>4459</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215" t="s">
        <v>3066</v>
      </c>
      <c r="B101" s="3215"/>
      <c r="C101" s="3215"/>
      <c r="D101" s="3215"/>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4454</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215" t="s">
        <v>3067</v>
      </c>
      <c r="B107" s="3215"/>
      <c r="C107" s="3215"/>
      <c r="D107" s="3215"/>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215" t="s">
        <v>3068</v>
      </c>
      <c r="B113" s="3215"/>
      <c r="C113" s="3215"/>
      <c r="D113" s="3215"/>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7.6">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4444</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215" t="s">
        <v>3069</v>
      </c>
      <c r="B119" s="3215"/>
      <c r="C119" s="3215"/>
      <c r="D119" s="3215"/>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213" t="s">
        <v>4447</v>
      </c>
      <c r="B120" s="3214"/>
      <c r="C120" s="3214"/>
      <c r="D120" s="3214"/>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SUM(E121:M121)</f>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2:14">
      <c r="N129">
        <f t="shared" si="9"/>
        <v>0</v>
      </c>
    </row>
    <row r="130" spans="2:14">
      <c r="B130" s="2966"/>
      <c r="C130" s="3212" t="s">
        <v>4777</v>
      </c>
      <c r="D130" s="3212" t="s">
        <v>4778</v>
      </c>
      <c r="E130" s="3212"/>
      <c r="F130" s="3212"/>
      <c r="G130" s="3212" t="s">
        <v>4779</v>
      </c>
      <c r="H130" s="3212"/>
      <c r="I130" s="3212"/>
      <c r="J130" s="3212"/>
      <c r="N130">
        <f t="shared" si="9"/>
        <v>0</v>
      </c>
    </row>
    <row r="131" spans="2:14" ht="25.2">
      <c r="B131" s="2966"/>
      <c r="C131" s="3212"/>
      <c r="D131" s="3114" t="s">
        <v>3080</v>
      </c>
      <c r="E131" s="3114" t="s">
        <v>1372</v>
      </c>
      <c r="F131" s="3115" t="s">
        <v>4780</v>
      </c>
      <c r="G131" s="3114" t="s">
        <v>4781</v>
      </c>
      <c r="H131" s="3115" t="s">
        <v>4782</v>
      </c>
      <c r="I131" s="3115" t="s">
        <v>4783</v>
      </c>
      <c r="J131" s="3115" t="s">
        <v>4784</v>
      </c>
      <c r="N131">
        <f t="shared" ref="N131:N134" si="13">SUM(E131:M131)</f>
        <v>0</v>
      </c>
    </row>
    <row r="132" spans="2:14">
      <c r="B132" s="3116" t="s">
        <v>3199</v>
      </c>
      <c r="C132" s="2966">
        <f>SUM(D132:J132)</f>
        <v>9685.0600000000013</v>
      </c>
      <c r="D132" s="2967">
        <f>E85+F85</f>
        <v>7330.4300000000021</v>
      </c>
      <c r="E132" s="2966">
        <v>0</v>
      </c>
      <c r="F132" s="2966">
        <f>L85</f>
        <v>75.55</v>
      </c>
      <c r="G132" s="2966">
        <f>G85+H85</f>
        <v>1224.53</v>
      </c>
      <c r="H132" s="2966">
        <v>0</v>
      </c>
      <c r="I132" s="2966">
        <v>0</v>
      </c>
      <c r="J132" s="2966">
        <f>M85</f>
        <v>1054.55</v>
      </c>
      <c r="N132">
        <f t="shared" si="13"/>
        <v>2354.63</v>
      </c>
    </row>
    <row r="133" spans="2:14">
      <c r="B133" s="3116" t="s">
        <v>3200</v>
      </c>
      <c r="C133" s="2966">
        <f t="shared" ref="C133:C139" si="14">SUM(D133:J133)</f>
        <v>8835.02</v>
      </c>
      <c r="D133" s="2966">
        <f>规证!D110</f>
        <v>6984.06</v>
      </c>
      <c r="E133" s="2966">
        <v>0</v>
      </c>
      <c r="F133" s="2966">
        <v>0</v>
      </c>
      <c r="G133" s="2966">
        <f>规证!H110</f>
        <v>1622.72</v>
      </c>
      <c r="H133" s="2966">
        <v>0</v>
      </c>
      <c r="I133" s="2966">
        <v>0</v>
      </c>
      <c r="J133" s="2966">
        <f>规证!I110</f>
        <v>228.24</v>
      </c>
      <c r="N133">
        <f t="shared" si="13"/>
        <v>1850.96</v>
      </c>
    </row>
    <row r="134" spans="2:14">
      <c r="B134" s="3116" t="s">
        <v>3201</v>
      </c>
      <c r="C134" s="2966">
        <f t="shared" si="14"/>
        <v>8755.9700000000012</v>
      </c>
      <c r="D134" s="2966">
        <f>E93+F93</f>
        <v>7317.4800000000005</v>
      </c>
      <c r="E134" s="2966">
        <v>0</v>
      </c>
      <c r="F134" s="2966">
        <f>L93</f>
        <v>75.55</v>
      </c>
      <c r="G134" s="2966">
        <f>G93+H93</f>
        <v>1362.94</v>
      </c>
      <c r="H134" s="2966">
        <v>0</v>
      </c>
      <c r="I134" s="2966">
        <v>0</v>
      </c>
      <c r="J134" s="2966">
        <v>0</v>
      </c>
      <c r="N134">
        <f t="shared" si="13"/>
        <v>1438.49</v>
      </c>
    </row>
    <row r="135" spans="2:14">
      <c r="B135" s="3116" t="s">
        <v>3202</v>
      </c>
      <c r="C135" s="2966">
        <f>SUM(D135:J135)</f>
        <v>7769.9500000000007</v>
      </c>
      <c r="D135" s="2966">
        <f>E97+F97</f>
        <v>4657.3</v>
      </c>
      <c r="E135" s="2966">
        <f>I96-I135</f>
        <v>263.92</v>
      </c>
      <c r="F135" s="2966">
        <f>L97+J97</f>
        <v>814.92000000000007</v>
      </c>
      <c r="G135" s="2966">
        <f>G97+H97</f>
        <v>1000.04</v>
      </c>
      <c r="H135" s="3050">
        <v>0</v>
      </c>
      <c r="I135" s="3050">
        <v>382.04</v>
      </c>
      <c r="J135" s="2966">
        <f>M97</f>
        <v>651.73</v>
      </c>
    </row>
    <row r="136" spans="2:14">
      <c r="B136" s="3116" t="s">
        <v>3203</v>
      </c>
      <c r="C136" s="2966">
        <f t="shared" si="14"/>
        <v>6077.84</v>
      </c>
      <c r="D136" s="2966">
        <f>E101+F101</f>
        <v>4675.24</v>
      </c>
      <c r="E136" s="3050">
        <v>0</v>
      </c>
      <c r="F136" s="2966">
        <f>J101+L101</f>
        <v>411.45000000000005</v>
      </c>
      <c r="G136" s="2966">
        <f>G101+H101</f>
        <v>818.59</v>
      </c>
      <c r="H136" s="3050">
        <v>0</v>
      </c>
      <c r="I136" s="3050">
        <v>0</v>
      </c>
      <c r="J136" s="2966">
        <f>M101+K101</f>
        <v>172.56</v>
      </c>
    </row>
    <row r="137" spans="2:14">
      <c r="B137" s="3116" t="s">
        <v>3204</v>
      </c>
      <c r="C137" s="2966">
        <f t="shared" si="14"/>
        <v>5381.22</v>
      </c>
      <c r="D137" s="2966">
        <f>E107+F107</f>
        <v>4428.34</v>
      </c>
      <c r="E137" s="3050">
        <v>0</v>
      </c>
      <c r="F137" s="2966">
        <f>L107</f>
        <v>47.79</v>
      </c>
      <c r="G137" s="2966">
        <f>H107+G107</f>
        <v>905.09</v>
      </c>
      <c r="H137" s="3050">
        <v>0</v>
      </c>
      <c r="I137" s="3050">
        <v>0</v>
      </c>
      <c r="J137" s="3050">
        <v>0</v>
      </c>
    </row>
    <row r="138" spans="2:14">
      <c r="B138" s="3116" t="s">
        <v>3205</v>
      </c>
      <c r="C138" s="2966">
        <f t="shared" si="14"/>
        <v>5381.2100000000009</v>
      </c>
      <c r="D138" s="2966">
        <f>E113</f>
        <v>4428.6100000000006</v>
      </c>
      <c r="E138" s="3050">
        <v>0</v>
      </c>
      <c r="F138" s="2966">
        <f>L113</f>
        <v>47.79</v>
      </c>
      <c r="G138" s="2966">
        <f>G113+H113</f>
        <v>904.81</v>
      </c>
      <c r="H138" s="3050">
        <v>0</v>
      </c>
      <c r="I138" s="3050">
        <v>0</v>
      </c>
      <c r="J138" s="3050">
        <v>0</v>
      </c>
    </row>
    <row r="139" spans="2:14">
      <c r="B139" s="3116" t="s">
        <v>3206</v>
      </c>
      <c r="C139" s="3117">
        <f t="shared" si="14"/>
        <v>5381.1</v>
      </c>
      <c r="D139" s="2966">
        <f>E119+F119</f>
        <v>4428.7700000000004</v>
      </c>
      <c r="E139" s="3050">
        <v>0</v>
      </c>
      <c r="F139" s="2966">
        <f>L119</f>
        <v>47.79</v>
      </c>
      <c r="G139" s="2966">
        <f>G119+H119</f>
        <v>904.54</v>
      </c>
      <c r="H139" s="3050">
        <v>0</v>
      </c>
      <c r="I139" s="3050">
        <v>0</v>
      </c>
      <c r="J139" s="3050">
        <v>0</v>
      </c>
    </row>
    <row r="140" spans="2:14">
      <c r="B140" s="3087"/>
      <c r="C140" s="3087"/>
      <c r="D140" s="3118"/>
      <c r="E140" s="3087"/>
      <c r="F140" s="3087"/>
      <c r="G140" s="3087"/>
      <c r="H140" s="3087"/>
      <c r="I140" s="3087"/>
      <c r="J140" s="3087"/>
    </row>
  </sheetData>
  <mergeCells count="11">
    <mergeCell ref="A85:D85"/>
    <mergeCell ref="A93:D93"/>
    <mergeCell ref="A97:D97"/>
    <mergeCell ref="A101:D101"/>
    <mergeCell ref="A107:D107"/>
    <mergeCell ref="C130:C131"/>
    <mergeCell ref="D130:F130"/>
    <mergeCell ref="G130:J130"/>
    <mergeCell ref="A120:D120"/>
    <mergeCell ref="A113:D113"/>
    <mergeCell ref="A119:D119"/>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64" workbookViewId="0">
      <selection activeCell="J76" sqref="J76"/>
    </sheetView>
  </sheetViews>
  <sheetFormatPr defaultColWidth="8.88671875" defaultRowHeight="15"/>
  <cols>
    <col min="1" max="3" width="4.33203125" style="3011" customWidth="1"/>
    <col min="4" max="4" width="6.6640625" style="3011" customWidth="1"/>
    <col min="5" max="5" width="10.33203125" style="3011" customWidth="1"/>
    <col min="6" max="6" width="8.88671875" style="3007"/>
    <col min="7" max="7" width="10.44140625" style="3007" bestFit="1" customWidth="1"/>
    <col min="8" max="9" width="8.88671875" style="3007"/>
    <col min="10" max="10" width="15.6640625" style="3007" bestFit="1" customWidth="1"/>
    <col min="11" max="11" width="8.88671875" style="3007"/>
    <col min="12" max="12" width="45.88671875" style="3007" customWidth="1"/>
    <col min="13" max="13" width="10.44140625" style="3007" bestFit="1" customWidth="1"/>
    <col min="14" max="14" width="10.88671875" style="3007" customWidth="1"/>
    <col min="15" max="15" width="8.88671875" style="3007"/>
    <col min="16" max="16" width="12.109375" style="3007" bestFit="1" customWidth="1"/>
    <col min="17" max="16384" width="8.88671875" style="3007"/>
  </cols>
  <sheetData>
    <row r="1" spans="1:16">
      <c r="A1" s="3217" t="s">
        <v>4421</v>
      </c>
      <c r="B1" s="3217" t="s">
        <v>4422</v>
      </c>
      <c r="C1" s="3216" t="s">
        <v>4423</v>
      </c>
      <c r="D1" s="3217" t="s">
        <v>4424</v>
      </c>
      <c r="E1" s="3218" t="s">
        <v>3216</v>
      </c>
      <c r="F1" s="3098"/>
      <c r="G1" s="3006"/>
      <c r="H1" s="3006"/>
      <c r="M1" s="3007" t="s">
        <v>4449</v>
      </c>
      <c r="N1" s="3007" t="s">
        <v>4452</v>
      </c>
      <c r="O1" s="3007" t="s">
        <v>4450</v>
      </c>
    </row>
    <row r="2" spans="1:16" ht="28.8">
      <c r="A2" s="3217"/>
      <c r="B2" s="3217"/>
      <c r="C2" s="3216"/>
      <c r="D2" s="3217"/>
      <c r="E2" s="3218"/>
      <c r="F2" s="3046"/>
      <c r="G2" s="3007" t="s">
        <v>4536</v>
      </c>
      <c r="K2" s="3007">
        <v>84</v>
      </c>
      <c r="L2" s="2947" t="s">
        <v>3072</v>
      </c>
      <c r="M2" s="2946" t="s">
        <v>4448</v>
      </c>
      <c r="N2" s="2946">
        <v>42</v>
      </c>
      <c r="O2" s="3007">
        <f>洋房测绘!F85</f>
        <v>6274.8300000000017</v>
      </c>
      <c r="P2" s="3007">
        <f>ROUND(O2/N2,2)</f>
        <v>149.4</v>
      </c>
    </row>
    <row r="3" spans="1:16" s="3009" customFormat="1" ht="14.4">
      <c r="A3" s="3219">
        <v>1</v>
      </c>
      <c r="B3" s="3047">
        <v>84</v>
      </c>
      <c r="C3" s="3047">
        <v>1</v>
      </c>
      <c r="D3" s="3047">
        <v>101</v>
      </c>
      <c r="E3" s="3047">
        <v>191.84</v>
      </c>
      <c r="F3" s="3099" t="s">
        <v>3219</v>
      </c>
      <c r="G3" s="3008">
        <v>7352268</v>
      </c>
      <c r="L3" s="3"/>
      <c r="M3"/>
      <c r="N3"/>
    </row>
    <row r="4" spans="1:16" s="3009" customFormat="1" ht="28.8">
      <c r="A4" s="3219"/>
      <c r="B4" s="3047">
        <v>84</v>
      </c>
      <c r="C4" s="3047">
        <v>1</v>
      </c>
      <c r="D4" s="3047">
        <v>101</v>
      </c>
      <c r="E4" s="3047">
        <v>115.81</v>
      </c>
      <c r="F4" s="3099" t="s">
        <v>3222</v>
      </c>
      <c r="G4" s="3008">
        <v>2192862</v>
      </c>
      <c r="K4" s="3009">
        <v>86</v>
      </c>
      <c r="L4" s="2947" t="s">
        <v>3072</v>
      </c>
      <c r="M4" s="2946" t="s">
        <v>4455</v>
      </c>
      <c r="N4">
        <v>42</v>
      </c>
      <c r="O4" s="3009">
        <f>洋房测绘!F93</f>
        <v>6263.47</v>
      </c>
      <c r="P4" s="3007">
        <f>ROUND(O4/N4,2)</f>
        <v>149.13</v>
      </c>
    </row>
    <row r="5" spans="1:16" s="3010" customFormat="1" ht="14.4">
      <c r="A5" s="3220">
        <v>2</v>
      </c>
      <c r="B5" s="3048">
        <v>84</v>
      </c>
      <c r="C5" s="3048">
        <v>1</v>
      </c>
      <c r="D5" s="3048">
        <v>102</v>
      </c>
      <c r="E5" s="3048">
        <v>167.58</v>
      </c>
      <c r="F5" s="3100" t="s">
        <v>3219</v>
      </c>
      <c r="G5" s="3008">
        <v>7376704</v>
      </c>
      <c r="L5" s="3"/>
      <c r="M5"/>
      <c r="N5"/>
    </row>
    <row r="6" spans="1:16" s="3010" customFormat="1" ht="14.4">
      <c r="A6" s="3220"/>
      <c r="B6" s="3048">
        <v>84</v>
      </c>
      <c r="C6" s="3048">
        <v>1</v>
      </c>
      <c r="D6" s="3048">
        <v>102</v>
      </c>
      <c r="E6" s="3048">
        <v>95.3</v>
      </c>
      <c r="F6" s="3100" t="s">
        <v>3222</v>
      </c>
      <c r="G6" s="3008">
        <v>1804506</v>
      </c>
      <c r="L6" s="2947"/>
      <c r="M6"/>
      <c r="N6"/>
    </row>
    <row r="7" spans="1:16" s="3009" customFormat="1" ht="14.4">
      <c r="A7" s="3219">
        <v>3</v>
      </c>
      <c r="B7" s="3047">
        <v>84</v>
      </c>
      <c r="C7" s="3047">
        <v>2</v>
      </c>
      <c r="D7" s="3047">
        <v>101</v>
      </c>
      <c r="E7" s="3047">
        <v>167.58</v>
      </c>
      <c r="F7" s="3100" t="s">
        <v>3219</v>
      </c>
      <c r="G7" s="3008">
        <v>7387783</v>
      </c>
      <c r="H7" s="3010"/>
      <c r="L7" s="3"/>
      <c r="M7"/>
      <c r="N7"/>
    </row>
    <row r="8" spans="1:16" s="3009" customFormat="1" ht="28.8">
      <c r="A8" s="3219"/>
      <c r="B8" s="3047">
        <v>84</v>
      </c>
      <c r="C8" s="3047">
        <v>2</v>
      </c>
      <c r="D8" s="3047">
        <v>101</v>
      </c>
      <c r="E8" s="3047">
        <v>95.3</v>
      </c>
      <c r="F8" s="3100" t="s">
        <v>3222</v>
      </c>
      <c r="G8" s="3008">
        <v>1816418</v>
      </c>
      <c r="H8" s="3010"/>
      <c r="K8" s="3009">
        <v>87</v>
      </c>
      <c r="L8" s="2947" t="s">
        <v>4461</v>
      </c>
      <c r="M8" s="2946" t="s">
        <v>4443</v>
      </c>
      <c r="N8" s="2946">
        <v>28</v>
      </c>
      <c r="O8" s="3009">
        <f>洋房测绘!F97</f>
        <v>4299.51</v>
      </c>
      <c r="P8" s="3007">
        <f>ROUND(O8/N8,2)</f>
        <v>153.55000000000001</v>
      </c>
    </row>
    <row r="9" spans="1:16" s="3010" customFormat="1" ht="14.4">
      <c r="A9" s="3220">
        <v>4</v>
      </c>
      <c r="B9" s="3048">
        <v>84</v>
      </c>
      <c r="C9" s="3048">
        <v>2</v>
      </c>
      <c r="D9" s="3048">
        <v>102</v>
      </c>
      <c r="E9" s="3048">
        <v>167.8</v>
      </c>
      <c r="F9" s="3100" t="s">
        <v>3219</v>
      </c>
      <c r="G9" s="3008">
        <v>7397482</v>
      </c>
      <c r="L9" s="3"/>
      <c r="M9"/>
      <c r="N9"/>
    </row>
    <row r="10" spans="1:16" s="3010" customFormat="1" ht="14.4">
      <c r="A10" s="3220"/>
      <c r="B10" s="3048">
        <v>84</v>
      </c>
      <c r="C10" s="3048">
        <v>2</v>
      </c>
      <c r="D10" s="3048">
        <v>102</v>
      </c>
      <c r="E10" s="3048">
        <v>95.29</v>
      </c>
      <c r="F10" s="3100" t="s">
        <v>3222</v>
      </c>
      <c r="G10" s="3008">
        <v>1816227</v>
      </c>
      <c r="L10" s="3"/>
      <c r="M10"/>
      <c r="N10"/>
    </row>
    <row r="11" spans="1:16" s="3010" customFormat="1" ht="14.4">
      <c r="A11" s="3220">
        <v>5</v>
      </c>
      <c r="B11" s="3048">
        <v>84</v>
      </c>
      <c r="C11" s="3048">
        <v>3</v>
      </c>
      <c r="D11" s="3048">
        <v>101</v>
      </c>
      <c r="E11" s="3048">
        <v>167.58</v>
      </c>
      <c r="F11" s="3100" t="s">
        <v>3219</v>
      </c>
      <c r="G11" s="3008">
        <v>7387783</v>
      </c>
      <c r="L11" s="3"/>
      <c r="M11"/>
      <c r="N11"/>
    </row>
    <row r="12" spans="1:16" s="3010" customFormat="1" ht="28.8">
      <c r="A12" s="3220"/>
      <c r="B12" s="3048">
        <v>84</v>
      </c>
      <c r="C12" s="3048">
        <v>3</v>
      </c>
      <c r="D12" s="3048">
        <v>101</v>
      </c>
      <c r="E12" s="3048">
        <v>95.3</v>
      </c>
      <c r="F12" s="3100" t="s">
        <v>3222</v>
      </c>
      <c r="G12" s="3008">
        <v>1816418</v>
      </c>
      <c r="K12" s="3010">
        <v>88</v>
      </c>
      <c r="L12" s="2947" t="s">
        <v>4461</v>
      </c>
      <c r="M12" s="2946" t="s">
        <v>4456</v>
      </c>
      <c r="N12">
        <f>14+14</f>
        <v>28</v>
      </c>
      <c r="O12" s="3010">
        <f>洋房测绘!F101</f>
        <v>4316.55</v>
      </c>
      <c r="P12" s="3007">
        <f>ROUND(O12/N12,2)</f>
        <v>154.16</v>
      </c>
    </row>
    <row r="13" spans="1:16" s="3010" customFormat="1" ht="14.4">
      <c r="A13" s="3220">
        <v>6</v>
      </c>
      <c r="B13" s="3048">
        <v>84</v>
      </c>
      <c r="C13" s="3048">
        <v>3</v>
      </c>
      <c r="D13" s="3048">
        <v>102</v>
      </c>
      <c r="E13" s="3048">
        <v>193.22</v>
      </c>
      <c r="F13" s="3100" t="s">
        <v>3219</v>
      </c>
      <c r="G13" s="3008">
        <v>7883108</v>
      </c>
      <c r="L13" s="3"/>
      <c r="M13"/>
      <c r="N13"/>
    </row>
    <row r="14" spans="1:16" s="3010" customFormat="1" ht="14.4">
      <c r="A14" s="3220"/>
      <c r="B14" s="3048">
        <v>84</v>
      </c>
      <c r="C14" s="3048">
        <v>3</v>
      </c>
      <c r="D14" s="3048">
        <v>102</v>
      </c>
      <c r="E14" s="3048">
        <v>113.97</v>
      </c>
      <c r="F14" s="3100" t="s">
        <v>3222</v>
      </c>
      <c r="G14" s="3008">
        <v>2172268</v>
      </c>
      <c r="I14" s="3010">
        <f>SUM(E3:E14)</f>
        <v>1666.57</v>
      </c>
      <c r="J14" s="3010" t="s">
        <v>4425</v>
      </c>
      <c r="L14" s="3"/>
      <c r="M14"/>
      <c r="N14"/>
    </row>
    <row r="15" spans="1:16" s="3009" customFormat="1" ht="14.4">
      <c r="A15" s="3219">
        <v>7</v>
      </c>
      <c r="B15" s="3047">
        <v>86</v>
      </c>
      <c r="C15" s="3047">
        <v>1</v>
      </c>
      <c r="D15" s="3047">
        <v>101</v>
      </c>
      <c r="E15" s="3047">
        <v>191.39</v>
      </c>
      <c r="F15" s="3100" t="s">
        <v>3219</v>
      </c>
      <c r="G15" s="3008">
        <v>9111910</v>
      </c>
      <c r="H15" s="3010"/>
      <c r="L15" s="2948"/>
      <c r="M15"/>
      <c r="N15"/>
    </row>
    <row r="16" spans="1:16" s="3009" customFormat="1" ht="28.8">
      <c r="A16" s="3219"/>
      <c r="B16" s="3047">
        <v>86</v>
      </c>
      <c r="C16" s="3047">
        <v>1</v>
      </c>
      <c r="D16" s="3047">
        <v>101</v>
      </c>
      <c r="E16" s="3047">
        <v>115.54</v>
      </c>
      <c r="F16" s="3100" t="s">
        <v>3222</v>
      </c>
      <c r="G16" s="3008">
        <v>3055977</v>
      </c>
      <c r="H16" s="3010"/>
      <c r="K16" s="3009">
        <v>89</v>
      </c>
      <c r="L16" s="2947" t="s">
        <v>3070</v>
      </c>
      <c r="M16" s="2946" t="s">
        <v>4457</v>
      </c>
      <c r="N16">
        <f>9</f>
        <v>9</v>
      </c>
      <c r="O16">
        <f>洋房测绘!F107</f>
        <v>1413.09</v>
      </c>
      <c r="P16" s="3007">
        <f>ROUND(O16/N16,2)</f>
        <v>157.01</v>
      </c>
    </row>
    <row r="17" spans="1:16" s="3009" customFormat="1" ht="14.4">
      <c r="A17" s="3219">
        <v>8</v>
      </c>
      <c r="B17" s="3047">
        <v>86</v>
      </c>
      <c r="C17" s="3047">
        <v>1</v>
      </c>
      <c r="D17" s="3047">
        <v>102</v>
      </c>
      <c r="E17" s="3047">
        <v>167.34</v>
      </c>
      <c r="F17" s="3100" t="s">
        <v>3219</v>
      </c>
      <c r="G17" s="3008">
        <v>7547057</v>
      </c>
      <c r="H17" s="3010"/>
      <c r="L17" s="3"/>
      <c r="M17"/>
      <c r="N17"/>
      <c r="O17"/>
    </row>
    <row r="18" spans="1:16" s="3009" customFormat="1" ht="28.8">
      <c r="A18" s="3219"/>
      <c r="B18" s="3047">
        <v>86</v>
      </c>
      <c r="C18" s="3047">
        <v>1</v>
      </c>
      <c r="D18" s="3047">
        <v>102</v>
      </c>
      <c r="E18" s="3047">
        <v>95.16</v>
      </c>
      <c r="F18" s="3100" t="s">
        <v>3222</v>
      </c>
      <c r="G18" s="3008">
        <v>2188680</v>
      </c>
      <c r="H18" s="3010"/>
      <c r="K18" s="3009">
        <v>91</v>
      </c>
      <c r="L18" s="2947" t="s">
        <v>3075</v>
      </c>
      <c r="M18" s="2946" t="s">
        <v>4458</v>
      </c>
      <c r="N18">
        <f>12+12</f>
        <v>24</v>
      </c>
      <c r="O18">
        <f>洋房测绘!F119</f>
        <v>3705.92</v>
      </c>
      <c r="P18" s="3007">
        <f>ROUND(O18/N18,2)</f>
        <v>154.41</v>
      </c>
    </row>
    <row r="19" spans="1:16" s="3009" customFormat="1" ht="14.4">
      <c r="A19" s="3219">
        <v>9</v>
      </c>
      <c r="B19" s="3047">
        <v>86</v>
      </c>
      <c r="C19" s="3047">
        <v>3</v>
      </c>
      <c r="D19" s="3047">
        <v>101</v>
      </c>
      <c r="E19" s="3047">
        <v>167.34</v>
      </c>
      <c r="F19" s="3100" t="s">
        <v>3219</v>
      </c>
      <c r="G19" s="3008">
        <v>7547057</v>
      </c>
      <c r="H19" s="3010"/>
      <c r="L19" s="3"/>
      <c r="M19"/>
      <c r="N19">
        <f>SUM(N2:N18)</f>
        <v>173</v>
      </c>
      <c r="O19">
        <f>SUM(O2:O18)</f>
        <v>26273.370000000003</v>
      </c>
    </row>
    <row r="20" spans="1:16" s="3009" customFormat="1" ht="14.4">
      <c r="A20" s="3219"/>
      <c r="B20" s="3047">
        <v>86</v>
      </c>
      <c r="C20" s="3047">
        <v>3</v>
      </c>
      <c r="D20" s="3047">
        <v>101</v>
      </c>
      <c r="E20" s="3047">
        <v>95.16</v>
      </c>
      <c r="F20" s="3100" t="s">
        <v>3222</v>
      </c>
      <c r="G20" s="3008">
        <v>2188680</v>
      </c>
      <c r="H20" s="3010"/>
      <c r="L20" s="3"/>
      <c r="M20"/>
      <c r="N20"/>
      <c r="O20"/>
    </row>
    <row r="21" spans="1:16" s="3010" customFormat="1" ht="14.4">
      <c r="A21" s="3220">
        <v>10</v>
      </c>
      <c r="B21" s="3048">
        <v>86</v>
      </c>
      <c r="C21" s="3048">
        <v>3</v>
      </c>
      <c r="D21" s="3048">
        <v>102</v>
      </c>
      <c r="E21" s="3048">
        <v>193.04</v>
      </c>
      <c r="F21" s="3100" t="s">
        <v>3219</v>
      </c>
      <c r="G21" s="3008">
        <v>8243773</v>
      </c>
      <c r="L21" s="3"/>
      <c r="M21"/>
      <c r="N21"/>
      <c r="O21"/>
    </row>
    <row r="22" spans="1:16" s="3010" customFormat="1" ht="26.4">
      <c r="A22" s="3220"/>
      <c r="B22" s="3048">
        <v>86</v>
      </c>
      <c r="C22" s="3048">
        <v>3</v>
      </c>
      <c r="D22" s="3048">
        <v>102</v>
      </c>
      <c r="E22" s="3048">
        <v>113.54</v>
      </c>
      <c r="F22" s="3100" t="s">
        <v>3222</v>
      </c>
      <c r="G22" s="3008">
        <v>2149880</v>
      </c>
      <c r="I22" s="3010">
        <f>SUM(E15:E22)</f>
        <v>1138.51</v>
      </c>
      <c r="J22" s="3010" t="s">
        <v>4426</v>
      </c>
      <c r="L22" s="3"/>
      <c r="M22"/>
      <c r="N22"/>
      <c r="O22"/>
    </row>
    <row r="23" spans="1:16" s="3009" customFormat="1" ht="14.4">
      <c r="A23" s="3219">
        <v>11</v>
      </c>
      <c r="B23" s="3047">
        <v>87</v>
      </c>
      <c r="C23" s="3047">
        <v>1</v>
      </c>
      <c r="D23" s="3047">
        <v>101</v>
      </c>
      <c r="E23" s="3047">
        <v>190.69</v>
      </c>
      <c r="F23" s="3100" t="s">
        <v>4427</v>
      </c>
      <c r="G23" s="3008">
        <v>8143416</v>
      </c>
      <c r="H23" s="3010"/>
      <c r="L23" s="3"/>
      <c r="M23"/>
      <c r="N23"/>
      <c r="O23"/>
    </row>
    <row r="24" spans="1:16" s="3009" customFormat="1" ht="14.4">
      <c r="A24" s="3219"/>
      <c r="B24" s="3047">
        <v>87</v>
      </c>
      <c r="C24" s="3047">
        <v>1</v>
      </c>
      <c r="D24" s="3047">
        <v>101</v>
      </c>
      <c r="E24" s="3047">
        <v>115.38</v>
      </c>
      <c r="F24" s="3100" t="s">
        <v>4428</v>
      </c>
      <c r="G24" s="3008">
        <v>2184720</v>
      </c>
      <c r="H24" s="3010"/>
      <c r="L24" s="3"/>
      <c r="M24"/>
      <c r="N24"/>
      <c r="O24"/>
    </row>
    <row r="25" spans="1:16" s="3009" customFormat="1" ht="14.4">
      <c r="A25" s="3219">
        <v>12</v>
      </c>
      <c r="B25" s="3047">
        <v>87</v>
      </c>
      <c r="C25" s="3047">
        <v>1</v>
      </c>
      <c r="D25" s="3047">
        <v>102</v>
      </c>
      <c r="E25" s="3047">
        <v>167.1</v>
      </c>
      <c r="F25" s="3100" t="s">
        <v>4427</v>
      </c>
      <c r="G25" s="3008">
        <v>7136006</v>
      </c>
      <c r="H25" s="3010"/>
      <c r="L25" s="3"/>
      <c r="M25"/>
      <c r="N25"/>
      <c r="O25"/>
    </row>
    <row r="26" spans="1:16" s="3009" customFormat="1" ht="14.4">
      <c r="A26" s="3219"/>
      <c r="B26" s="3047">
        <v>87</v>
      </c>
      <c r="C26" s="3047">
        <v>1</v>
      </c>
      <c r="D26" s="3047">
        <v>102</v>
      </c>
      <c r="E26" s="3047">
        <v>94.9</v>
      </c>
      <c r="F26" s="3100" t="s">
        <v>4428</v>
      </c>
      <c r="G26" s="3008">
        <v>1796932</v>
      </c>
      <c r="H26" s="3010"/>
      <c r="I26" s="3009">
        <f>SUM(E23:E26)</f>
        <v>568.06999999999994</v>
      </c>
      <c r="J26" s="3009" t="s">
        <v>4429</v>
      </c>
      <c r="L26" s="3"/>
      <c r="M26"/>
      <c r="N26"/>
    </row>
    <row r="27" spans="1:16" s="3009" customFormat="1" ht="14.4">
      <c r="A27" s="3219">
        <v>13</v>
      </c>
      <c r="B27" s="3047">
        <v>89</v>
      </c>
      <c r="C27" s="3047">
        <v>1</v>
      </c>
      <c r="D27" s="3047">
        <v>102</v>
      </c>
      <c r="E27" s="3047">
        <v>168.68</v>
      </c>
      <c r="F27" s="3100" t="s">
        <v>4427</v>
      </c>
      <c r="G27" s="3008">
        <v>8465374</v>
      </c>
      <c r="H27" s="3010"/>
      <c r="L27" s="3"/>
      <c r="M27"/>
      <c r="N27"/>
    </row>
    <row r="28" spans="1:16" s="3009" customFormat="1" ht="14.4">
      <c r="A28" s="3219"/>
      <c r="B28" s="3047">
        <v>89</v>
      </c>
      <c r="C28" s="3047">
        <v>1</v>
      </c>
      <c r="D28" s="3047">
        <v>102</v>
      </c>
      <c r="E28" s="3047">
        <v>95.81</v>
      </c>
      <c r="F28" s="3100" t="s">
        <v>4428</v>
      </c>
      <c r="G28" s="3008">
        <v>1724580</v>
      </c>
      <c r="H28" s="3010"/>
      <c r="L28" s="3"/>
      <c r="M28"/>
      <c r="N28"/>
    </row>
    <row r="29" spans="1:16" s="3009" customFormat="1" ht="14.4">
      <c r="A29" s="3219">
        <v>14</v>
      </c>
      <c r="B29" s="3047">
        <v>89</v>
      </c>
      <c r="C29" s="3047">
        <v>2</v>
      </c>
      <c r="D29" s="3047">
        <v>101</v>
      </c>
      <c r="E29" s="3047">
        <v>168.88</v>
      </c>
      <c r="F29" s="3100" t="s">
        <v>4427</v>
      </c>
      <c r="G29" s="3008">
        <v>8475412</v>
      </c>
      <c r="H29" s="3010"/>
      <c r="L29" s="3"/>
      <c r="M29"/>
      <c r="N29"/>
    </row>
    <row r="30" spans="1:16" s="3009" customFormat="1" ht="14.4">
      <c r="A30" s="3219"/>
      <c r="B30" s="3047">
        <v>89</v>
      </c>
      <c r="C30" s="3047">
        <v>2</v>
      </c>
      <c r="D30" s="3047">
        <v>101</v>
      </c>
      <c r="E30" s="3047">
        <v>95.93</v>
      </c>
      <c r="F30" s="3100" t="s">
        <v>4428</v>
      </c>
      <c r="G30" s="3008">
        <v>1726740</v>
      </c>
      <c r="H30" s="3010"/>
      <c r="L30" s="3"/>
      <c r="M30"/>
      <c r="N30"/>
    </row>
    <row r="31" spans="1:16" s="3009" customFormat="1" ht="14.4">
      <c r="A31" s="3219">
        <v>15</v>
      </c>
      <c r="B31" s="3047">
        <v>89</v>
      </c>
      <c r="C31" s="3047">
        <v>2</v>
      </c>
      <c r="D31" s="3047">
        <v>102</v>
      </c>
      <c r="E31" s="3047">
        <v>192.65</v>
      </c>
      <c r="F31" s="3100" t="s">
        <v>4427</v>
      </c>
      <c r="G31" s="3008">
        <v>8356579</v>
      </c>
      <c r="H31" s="3010"/>
      <c r="L31" s="3"/>
      <c r="M31"/>
      <c r="N31"/>
    </row>
    <row r="32" spans="1:16" s="3009" customFormat="1" ht="26.4">
      <c r="A32" s="3219"/>
      <c r="B32" s="3047">
        <v>89</v>
      </c>
      <c r="C32" s="3047">
        <v>2</v>
      </c>
      <c r="D32" s="3047">
        <v>102</v>
      </c>
      <c r="E32" s="3047">
        <v>116.53</v>
      </c>
      <c r="F32" s="3100" t="s">
        <v>4428</v>
      </c>
      <c r="G32" s="3008">
        <v>2097540</v>
      </c>
      <c r="H32" s="3010"/>
      <c r="I32" s="3009">
        <f>SUM(E27:E32)</f>
        <v>838.4799999999999</v>
      </c>
      <c r="J32" s="3009" t="s">
        <v>4430</v>
      </c>
      <c r="L32" s="3"/>
      <c r="M32"/>
      <c r="N32"/>
    </row>
    <row r="33" spans="1:14" s="3009" customFormat="1" ht="18" customHeight="1">
      <c r="A33" s="3219">
        <v>16</v>
      </c>
      <c r="B33" s="3047">
        <v>90</v>
      </c>
      <c r="C33" s="3047">
        <v>1</v>
      </c>
      <c r="D33" s="3047">
        <v>102</v>
      </c>
      <c r="E33" s="3047">
        <v>168.68</v>
      </c>
      <c r="F33" s="3100" t="s">
        <v>4427</v>
      </c>
      <c r="G33" s="3008">
        <v>8465374</v>
      </c>
      <c r="H33" s="3010"/>
      <c r="L33" s="3"/>
      <c r="M33"/>
      <c r="N33"/>
    </row>
    <row r="34" spans="1:14" s="3009" customFormat="1" ht="19.350000000000001" customHeight="1">
      <c r="A34" s="3219"/>
      <c r="B34" s="3047">
        <v>90</v>
      </c>
      <c r="C34" s="3047">
        <v>1</v>
      </c>
      <c r="D34" s="3047">
        <v>102</v>
      </c>
      <c r="E34" s="3047">
        <v>95.82</v>
      </c>
      <c r="F34" s="3100" t="s">
        <v>4428</v>
      </c>
      <c r="G34" s="3008">
        <v>1724760</v>
      </c>
      <c r="H34" s="3010"/>
      <c r="L34" s="3"/>
      <c r="M34"/>
      <c r="N34"/>
    </row>
    <row r="35" spans="1:14" s="3009" customFormat="1" ht="19.350000000000001" customHeight="1">
      <c r="A35" s="3219">
        <v>17</v>
      </c>
      <c r="B35" s="3047">
        <v>90</v>
      </c>
      <c r="C35" s="3047">
        <v>2</v>
      </c>
      <c r="D35" s="3047">
        <v>102</v>
      </c>
      <c r="E35" s="3047">
        <v>192.66</v>
      </c>
      <c r="F35" s="3100" t="s">
        <v>4427</v>
      </c>
      <c r="G35" s="3008">
        <v>8357013</v>
      </c>
      <c r="H35" s="3010"/>
      <c r="L35" s="3"/>
      <c r="M35"/>
      <c r="N35"/>
    </row>
    <row r="36" spans="1:14" s="3009" customFormat="1" ht="19.350000000000001" customHeight="1">
      <c r="A36" s="3219"/>
      <c r="B36" s="3047">
        <v>90</v>
      </c>
      <c r="C36" s="3047">
        <v>2</v>
      </c>
      <c r="D36" s="3047">
        <v>102</v>
      </c>
      <c r="E36" s="3047">
        <v>116.53</v>
      </c>
      <c r="F36" s="3100" t="s">
        <v>4428</v>
      </c>
      <c r="G36" s="3008">
        <v>2097540</v>
      </c>
      <c r="H36" s="3010"/>
      <c r="I36" s="3009">
        <f>SUM(E33:E36)+I63</f>
        <v>2334.4</v>
      </c>
      <c r="K36" s="3009">
        <f>I36+2518.96</f>
        <v>4853.3600000000006</v>
      </c>
      <c r="L36" s="3"/>
      <c r="M36"/>
      <c r="N36"/>
    </row>
    <row r="37" spans="1:14" s="3009" customFormat="1" ht="19.350000000000001" customHeight="1">
      <c r="A37" s="3219">
        <v>18</v>
      </c>
      <c r="B37" s="3047">
        <v>91</v>
      </c>
      <c r="C37" s="3047">
        <v>1</v>
      </c>
      <c r="D37" s="3047">
        <v>101</v>
      </c>
      <c r="E37" s="3047">
        <v>192.59</v>
      </c>
      <c r="F37" s="3100" t="s">
        <v>3193</v>
      </c>
      <c r="G37" s="3008">
        <v>9209076</v>
      </c>
      <c r="H37" s="3010"/>
      <c r="L37" s="3"/>
      <c r="M37"/>
      <c r="N37"/>
    </row>
    <row r="38" spans="1:14" s="3009" customFormat="1" ht="19.350000000000001" customHeight="1">
      <c r="A38" s="3219"/>
      <c r="B38" s="3047">
        <v>91</v>
      </c>
      <c r="C38" s="3047">
        <v>1</v>
      </c>
      <c r="D38" s="3047">
        <v>101</v>
      </c>
      <c r="E38" s="3047">
        <v>116.47</v>
      </c>
      <c r="F38" s="3100" t="s">
        <v>4431</v>
      </c>
      <c r="G38" s="3008">
        <v>2096460</v>
      </c>
      <c r="H38" s="3010"/>
      <c r="L38" s="3"/>
      <c r="M38"/>
      <c r="N38"/>
    </row>
    <row r="39" spans="1:14" s="3009" customFormat="1" ht="19.350000000000001" customHeight="1">
      <c r="A39" s="3219">
        <v>19</v>
      </c>
      <c r="B39" s="3047">
        <v>91</v>
      </c>
      <c r="C39" s="3047">
        <v>1</v>
      </c>
      <c r="D39" s="3047">
        <v>102</v>
      </c>
      <c r="E39" s="3047">
        <v>168.69</v>
      </c>
      <c r="F39" s="3100" t="s">
        <v>3193</v>
      </c>
      <c r="G39" s="3008">
        <v>8465876</v>
      </c>
      <c r="H39" s="3010"/>
      <c r="L39" s="3"/>
      <c r="M39"/>
      <c r="N39"/>
    </row>
    <row r="40" spans="1:14" s="3009" customFormat="1" ht="19.350000000000001" customHeight="1">
      <c r="A40" s="3219"/>
      <c r="B40" s="3047">
        <v>91</v>
      </c>
      <c r="C40" s="3047">
        <v>1</v>
      </c>
      <c r="D40" s="3047">
        <v>102</v>
      </c>
      <c r="E40" s="3047">
        <v>95.83</v>
      </c>
      <c r="F40" s="3100" t="s">
        <v>4431</v>
      </c>
      <c r="G40" s="3008">
        <v>1724940</v>
      </c>
      <c r="H40" s="3010"/>
      <c r="L40" s="3"/>
      <c r="M40"/>
      <c r="N40"/>
    </row>
    <row r="41" spans="1:14" s="3009" customFormat="1" ht="19.350000000000001" customHeight="1">
      <c r="A41" s="3219">
        <v>20</v>
      </c>
      <c r="B41" s="3047">
        <v>91</v>
      </c>
      <c r="C41" s="3047">
        <v>2</v>
      </c>
      <c r="D41" s="3047">
        <v>101</v>
      </c>
      <c r="E41" s="3047">
        <v>168.9</v>
      </c>
      <c r="F41" s="3100" t="s">
        <v>3193</v>
      </c>
      <c r="G41" s="3008">
        <v>8476415</v>
      </c>
      <c r="H41" s="3010"/>
      <c r="L41" s="3"/>
      <c r="M41"/>
      <c r="N41"/>
    </row>
    <row r="42" spans="1:14" s="3009" customFormat="1" ht="19.350000000000001" customHeight="1">
      <c r="A42" s="3219"/>
      <c r="B42" s="3047">
        <v>91</v>
      </c>
      <c r="C42" s="3047">
        <v>2</v>
      </c>
      <c r="D42" s="3047">
        <v>101</v>
      </c>
      <c r="E42" s="3047">
        <v>95.94</v>
      </c>
      <c r="F42" s="3100" t="s">
        <v>4431</v>
      </c>
      <c r="G42" s="3008">
        <v>1726920</v>
      </c>
      <c r="H42" s="3010"/>
      <c r="L42" s="3"/>
      <c r="M42"/>
      <c r="N42"/>
    </row>
    <row r="43" spans="1:14" s="3009" customFormat="1" ht="19.350000000000001" customHeight="1">
      <c r="A43" s="3219">
        <v>21</v>
      </c>
      <c r="B43" s="3047">
        <v>91</v>
      </c>
      <c r="C43" s="3047">
        <v>2</v>
      </c>
      <c r="D43" s="3047">
        <v>102</v>
      </c>
      <c r="E43" s="3047">
        <v>192.67</v>
      </c>
      <c r="F43" s="3100" t="s">
        <v>3193</v>
      </c>
      <c r="G43" s="3008">
        <v>8357447</v>
      </c>
      <c r="H43" s="3010"/>
      <c r="L43" s="3"/>
      <c r="M43"/>
      <c r="N43"/>
    </row>
    <row r="44" spans="1:14" s="3009" customFormat="1" ht="19.350000000000001" customHeight="1">
      <c r="A44" s="3219"/>
      <c r="B44" s="3047">
        <v>91</v>
      </c>
      <c r="C44" s="3047">
        <v>2</v>
      </c>
      <c r="D44" s="3047">
        <v>102</v>
      </c>
      <c r="E44" s="3047">
        <v>116.53</v>
      </c>
      <c r="F44" s="3100" t="s">
        <v>4431</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3193</v>
      </c>
      <c r="G45" s="3008">
        <v>7949376</v>
      </c>
      <c r="L45" s="3"/>
      <c r="M45"/>
      <c r="N45"/>
    </row>
    <row r="46" spans="1:14" s="3009" customFormat="1" ht="19.350000000000001" customHeight="1">
      <c r="A46" s="3047">
        <v>23</v>
      </c>
      <c r="B46" s="3047">
        <v>89</v>
      </c>
      <c r="C46" s="3047">
        <v>1</v>
      </c>
      <c r="D46" s="3047">
        <v>401</v>
      </c>
      <c r="E46" s="3047">
        <v>166.57</v>
      </c>
      <c r="F46" s="3099" t="s">
        <v>3193</v>
      </c>
      <c r="G46" s="3008">
        <v>7857940</v>
      </c>
      <c r="L46" s="3"/>
      <c r="M46"/>
      <c r="N46"/>
    </row>
    <row r="47" spans="1:14" s="3009" customFormat="1" ht="18.75" customHeight="1">
      <c r="A47" s="3047">
        <v>24</v>
      </c>
      <c r="B47" s="3047">
        <v>89</v>
      </c>
      <c r="C47" s="3047">
        <v>1</v>
      </c>
      <c r="D47" s="3047">
        <v>501</v>
      </c>
      <c r="E47" s="3047">
        <v>166.57</v>
      </c>
      <c r="F47" s="3099" t="s">
        <v>3193</v>
      </c>
      <c r="G47" s="3008">
        <v>8049304</v>
      </c>
      <c r="L47" s="3"/>
      <c r="M47"/>
      <c r="N47"/>
    </row>
    <row r="48" spans="1:14" s="3009" customFormat="1" ht="19.350000000000001" customHeight="1">
      <c r="A48" s="3047">
        <v>25</v>
      </c>
      <c r="B48" s="3047">
        <v>89</v>
      </c>
      <c r="C48" s="3047">
        <v>1</v>
      </c>
      <c r="D48" s="3047">
        <v>502</v>
      </c>
      <c r="E48" s="3047">
        <v>143.72999999999999</v>
      </c>
      <c r="F48" s="3099" t="s">
        <v>3193</v>
      </c>
      <c r="G48" s="3008">
        <v>7099379</v>
      </c>
      <c r="L48" s="3"/>
      <c r="M48"/>
      <c r="N48"/>
    </row>
    <row r="49" spans="1:14" s="3009" customFormat="1" ht="19.350000000000001" customHeight="1">
      <c r="A49" s="3047">
        <v>26</v>
      </c>
      <c r="B49" s="3047">
        <v>89</v>
      </c>
      <c r="C49" s="3047">
        <v>2</v>
      </c>
      <c r="D49" s="3047">
        <v>301</v>
      </c>
      <c r="E49" s="3047">
        <v>143.72999999999999</v>
      </c>
      <c r="F49" s="3099" t="s">
        <v>3193</v>
      </c>
      <c r="G49" s="3008">
        <v>7085345</v>
      </c>
      <c r="L49" s="3"/>
      <c r="M49"/>
      <c r="N49"/>
    </row>
    <row r="50" spans="1:14" s="3009" customFormat="1" ht="19.350000000000001" customHeight="1">
      <c r="A50" s="3047">
        <v>27</v>
      </c>
      <c r="B50" s="3047">
        <v>89</v>
      </c>
      <c r="C50" s="3047">
        <v>2</v>
      </c>
      <c r="D50" s="3047">
        <v>302</v>
      </c>
      <c r="E50" s="3047">
        <v>166.57</v>
      </c>
      <c r="F50" s="3099" t="s">
        <v>3193</v>
      </c>
      <c r="G50" s="3008">
        <v>7210815</v>
      </c>
      <c r="L50" s="3"/>
      <c r="M50"/>
      <c r="N50"/>
    </row>
    <row r="51" spans="1:14" s="3009" customFormat="1" ht="19.350000000000001" customHeight="1">
      <c r="A51" s="3047">
        <v>28</v>
      </c>
      <c r="B51" s="3047">
        <v>89</v>
      </c>
      <c r="C51" s="3047">
        <v>2</v>
      </c>
      <c r="D51" s="3047">
        <v>402</v>
      </c>
      <c r="E51" s="3047">
        <v>166.57</v>
      </c>
      <c r="F51" s="3099" t="s">
        <v>3193</v>
      </c>
      <c r="G51" s="3008">
        <v>7687309</v>
      </c>
      <c r="L51" s="3"/>
      <c r="M51"/>
      <c r="N51"/>
    </row>
    <row r="52" spans="1:14" s="3009" customFormat="1" ht="19.350000000000001" customHeight="1">
      <c r="A52" s="3047">
        <v>29</v>
      </c>
      <c r="B52" s="3047">
        <v>89</v>
      </c>
      <c r="C52" s="3047">
        <v>2</v>
      </c>
      <c r="D52" s="3047">
        <v>501</v>
      </c>
      <c r="E52" s="3047">
        <v>143.72999999999999</v>
      </c>
      <c r="F52" s="3099" t="s">
        <v>3193</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3193</v>
      </c>
      <c r="G53" s="3008">
        <v>7858412</v>
      </c>
      <c r="L53" s="3"/>
      <c r="M53"/>
      <c r="N53"/>
    </row>
    <row r="54" spans="1:14" s="3009" customFormat="1" ht="19.350000000000001" customHeight="1">
      <c r="A54" s="3047">
        <v>31</v>
      </c>
      <c r="B54" s="3047">
        <v>90</v>
      </c>
      <c r="C54" s="3047">
        <v>1</v>
      </c>
      <c r="D54" s="3047">
        <v>701</v>
      </c>
      <c r="E54" s="3047">
        <v>169.24</v>
      </c>
      <c r="F54" s="3099" t="s">
        <v>3193</v>
      </c>
      <c r="G54" s="3008">
        <v>7695148</v>
      </c>
      <c r="L54" s="3"/>
      <c r="M54"/>
      <c r="N54"/>
    </row>
    <row r="55" spans="1:14" s="3009" customFormat="1" ht="19.350000000000001" customHeight="1">
      <c r="A55" s="3047">
        <v>32</v>
      </c>
      <c r="B55" s="3047">
        <v>90</v>
      </c>
      <c r="C55" s="3047">
        <v>2</v>
      </c>
      <c r="D55" s="3047">
        <v>402</v>
      </c>
      <c r="E55" s="3047">
        <v>166.58</v>
      </c>
      <c r="F55" s="3099" t="s">
        <v>3193</v>
      </c>
      <c r="G55" s="3008">
        <v>7687770</v>
      </c>
      <c r="L55" s="3"/>
      <c r="M55"/>
      <c r="N55"/>
    </row>
    <row r="56" spans="1:14" s="3009" customFormat="1" ht="19.350000000000001" customHeight="1">
      <c r="A56" s="3047">
        <v>33</v>
      </c>
      <c r="B56" s="3047">
        <v>90</v>
      </c>
      <c r="C56" s="3047">
        <v>2</v>
      </c>
      <c r="D56" s="3047">
        <v>502</v>
      </c>
      <c r="E56" s="3047">
        <v>166.58</v>
      </c>
      <c r="F56" s="3099" t="s">
        <v>3193</v>
      </c>
      <c r="G56" s="3008">
        <v>7862492</v>
      </c>
      <c r="L56" s="3"/>
      <c r="M56"/>
      <c r="N56"/>
    </row>
    <row r="57" spans="1:14" s="3009" customFormat="1" ht="19.350000000000001" customHeight="1">
      <c r="A57" s="3047">
        <v>34</v>
      </c>
      <c r="B57" s="3047">
        <v>90</v>
      </c>
      <c r="C57" s="3047">
        <v>2</v>
      </c>
      <c r="D57" s="3047">
        <v>602</v>
      </c>
      <c r="E57" s="3047">
        <v>166.58</v>
      </c>
      <c r="F57" s="3099" t="s">
        <v>3193</v>
      </c>
      <c r="G57" s="3008">
        <v>7765960</v>
      </c>
      <c r="L57" s="3"/>
      <c r="M57"/>
      <c r="N57"/>
    </row>
    <row r="58" spans="1:14" s="3009" customFormat="1" ht="19.350000000000001" customHeight="1">
      <c r="A58" s="3047">
        <v>35</v>
      </c>
      <c r="B58" s="3047">
        <v>90</v>
      </c>
      <c r="C58" s="3047">
        <v>1</v>
      </c>
      <c r="D58" s="3047">
        <v>201</v>
      </c>
      <c r="E58" s="3047">
        <v>160.77000000000001</v>
      </c>
      <c r="F58" s="3099" t="s">
        <v>3193</v>
      </c>
      <c r="G58" s="3008">
        <v>8769561</v>
      </c>
      <c r="L58" s="3"/>
      <c r="M58"/>
      <c r="N58"/>
    </row>
    <row r="59" spans="1:14" s="3009" customFormat="1" ht="19.350000000000001" customHeight="1">
      <c r="A59" s="3047">
        <v>36</v>
      </c>
      <c r="B59" s="3047">
        <v>90</v>
      </c>
      <c r="C59" s="3047">
        <v>1</v>
      </c>
      <c r="D59" s="3047">
        <v>302</v>
      </c>
      <c r="E59" s="3047">
        <v>143.74</v>
      </c>
      <c r="F59" s="3099" t="s">
        <v>3193</v>
      </c>
      <c r="G59" s="3008">
        <v>7008125</v>
      </c>
      <c r="L59" s="3"/>
      <c r="M59"/>
      <c r="N59"/>
    </row>
    <row r="60" spans="1:14" s="3009" customFormat="1" ht="19.350000000000001" customHeight="1">
      <c r="A60" s="3047">
        <v>37</v>
      </c>
      <c r="B60" s="3047">
        <v>90</v>
      </c>
      <c r="C60" s="3047">
        <v>1</v>
      </c>
      <c r="D60" s="3047">
        <v>501</v>
      </c>
      <c r="E60" s="3047">
        <v>166.58</v>
      </c>
      <c r="F60" s="3099" t="s">
        <v>3193</v>
      </c>
      <c r="G60" s="3008">
        <v>9085355</v>
      </c>
      <c r="L60" s="3"/>
      <c r="M60"/>
      <c r="N60"/>
    </row>
    <row r="61" spans="1:14" s="3009" customFormat="1" ht="19.350000000000001" customHeight="1">
      <c r="A61" s="3047">
        <v>38</v>
      </c>
      <c r="B61" s="3047">
        <v>90</v>
      </c>
      <c r="C61" s="3047">
        <v>1</v>
      </c>
      <c r="D61" s="3047">
        <v>502</v>
      </c>
      <c r="E61" s="3047">
        <v>143.74</v>
      </c>
      <c r="F61" s="3099" t="s">
        <v>3193</v>
      </c>
      <c r="G61" s="3008">
        <v>6935075</v>
      </c>
      <c r="L61" s="3"/>
      <c r="M61"/>
      <c r="N61"/>
    </row>
    <row r="62" spans="1:14" s="3009" customFormat="1" ht="19.350000000000001" customHeight="1">
      <c r="A62" s="3047">
        <v>39</v>
      </c>
      <c r="B62" s="3047">
        <v>90</v>
      </c>
      <c r="C62" s="3047">
        <v>2</v>
      </c>
      <c r="D62" s="3047">
        <v>302</v>
      </c>
      <c r="E62" s="3047">
        <v>166.58</v>
      </c>
      <c r="F62" s="3099" t="s">
        <v>3193</v>
      </c>
      <c r="G62" s="3008">
        <v>8811919</v>
      </c>
      <c r="L62" s="3"/>
      <c r="M62"/>
      <c r="N62"/>
    </row>
    <row r="63" spans="1:14" s="3009" customFormat="1" ht="19.350000000000001" customHeight="1">
      <c r="A63" s="3047">
        <v>40</v>
      </c>
      <c r="B63" s="3047">
        <v>90</v>
      </c>
      <c r="C63" s="3047">
        <v>2</v>
      </c>
      <c r="D63" s="3047">
        <v>601</v>
      </c>
      <c r="E63" s="3047">
        <v>143.74</v>
      </c>
      <c r="F63" s="3099" t="s">
        <v>3193</v>
      </c>
      <c r="G63" s="3008">
        <v>7085838</v>
      </c>
      <c r="I63" s="3009">
        <f>SUM(E53:E63)</f>
        <v>1760.71</v>
      </c>
      <c r="L63" s="3"/>
      <c r="M63"/>
      <c r="N63"/>
    </row>
    <row r="64" spans="1:14">
      <c r="A64" s="3221" t="s">
        <v>4734</v>
      </c>
      <c r="B64" s="3221"/>
      <c r="C64" s="3221"/>
      <c r="D64" s="3221"/>
      <c r="E64" s="3046">
        <f>SUM(E3:E63)</f>
        <v>8957.6899999999951</v>
      </c>
      <c r="F64" s="3046" t="s">
        <v>4735</v>
      </c>
      <c r="G64" s="3007">
        <f>SUM(G3:G63)</f>
        <v>357956581</v>
      </c>
      <c r="L64" s="3"/>
      <c r="M64"/>
      <c r="N64"/>
    </row>
    <row r="65" spans="1:16" ht="30" customHeight="1">
      <c r="A65" s="3221" t="s">
        <v>4460</v>
      </c>
      <c r="B65" s="3221"/>
      <c r="C65" s="3221"/>
      <c r="D65" s="3221"/>
      <c r="E65" s="3046">
        <f>洋房测绘!F120</f>
        <v>26273.370000000003</v>
      </c>
      <c r="F65" s="3046" t="s">
        <v>4729</v>
      </c>
      <c r="G65" s="3007">
        <f>'数据-汇总表'!F20+'数据-汇总表'!G26-洋房清单!E64</f>
        <v>868.66000000000349</v>
      </c>
      <c r="I65" s="3003" t="s">
        <v>4415</v>
      </c>
      <c r="J65" s="3003" t="s">
        <v>4416</v>
      </c>
      <c r="K65" s="1313" t="s">
        <v>4417</v>
      </c>
      <c r="L65" s="3"/>
      <c r="M65" s="1313" t="s">
        <v>4537</v>
      </c>
      <c r="N65" s="1313" t="s">
        <v>4540</v>
      </c>
      <c r="O65" s="1313" t="s">
        <v>4538</v>
      </c>
      <c r="P65" s="1313" t="s">
        <v>4539</v>
      </c>
    </row>
    <row r="66" spans="1:16" ht="31.5" customHeight="1">
      <c r="A66" s="3221" t="s">
        <v>4453</v>
      </c>
      <c r="B66" s="3221"/>
      <c r="C66" s="3221"/>
      <c r="D66" s="3221"/>
      <c r="E66" s="3046">
        <f>J68</f>
        <v>4204.4699999999993</v>
      </c>
      <c r="F66" s="3046" t="s">
        <v>4730</v>
      </c>
      <c r="I66" s="3018" t="s">
        <v>4432</v>
      </c>
      <c r="J66" s="3018">
        <v>6771.65</v>
      </c>
      <c r="K66" s="3018">
        <v>40</v>
      </c>
      <c r="L66" s="3"/>
      <c r="M66" s="1313">
        <f>J66</f>
        <v>6771.65</v>
      </c>
      <c r="N66" s="1313">
        <f>315755993/10000</f>
        <v>31575.599300000002</v>
      </c>
      <c r="O66" s="1313">
        <v>40</v>
      </c>
      <c r="P66" s="1313">
        <f>ROUND(N66/M66*10000,0)</f>
        <v>46629</v>
      </c>
    </row>
    <row r="67" spans="1:16" ht="33" customHeight="1">
      <c r="A67" s="3221" t="s">
        <v>4451</v>
      </c>
      <c r="B67" s="3221"/>
      <c r="C67" s="3221"/>
      <c r="D67" s="3221"/>
      <c r="E67" s="3046">
        <f>规证!C110</f>
        <v>8835.02</v>
      </c>
      <c r="F67" s="3046" t="s">
        <v>4731</v>
      </c>
      <c r="I67" s="3018" t="s">
        <v>4727</v>
      </c>
      <c r="J67" s="3018">
        <v>2186.04</v>
      </c>
      <c r="K67" s="3018">
        <v>21</v>
      </c>
      <c r="L67" s="3"/>
      <c r="M67" s="1313">
        <f>J67</f>
        <v>2186.04</v>
      </c>
      <c r="N67" s="1313">
        <f>42200588/10000</f>
        <v>4220.0587999999998</v>
      </c>
      <c r="O67" s="1313">
        <v>21</v>
      </c>
      <c r="P67" s="1313">
        <f t="shared" ref="P67" si="0">ROUND(N67/M67*10000,0)</f>
        <v>19305</v>
      </c>
    </row>
    <row r="68" spans="1:16" ht="30">
      <c r="A68" s="3221" t="s">
        <v>4728</v>
      </c>
      <c r="B68" s="3221"/>
      <c r="C68" s="3221"/>
      <c r="D68" s="3221"/>
      <c r="E68" s="3046">
        <f>'数据-汇总表'!E22</f>
        <v>645.96</v>
      </c>
      <c r="F68" s="3046" t="s">
        <v>4732</v>
      </c>
      <c r="I68" s="3018" t="s">
        <v>4446</v>
      </c>
      <c r="J68" s="3018">
        <f>洋房测绘!H120</f>
        <v>4204.4699999999993</v>
      </c>
      <c r="K68" s="3018">
        <v>209</v>
      </c>
      <c r="L68" s="3"/>
      <c r="M68" s="1313">
        <f>J68</f>
        <v>4204.4699999999993</v>
      </c>
      <c r="N68" s="1313"/>
      <c r="O68" s="1313"/>
      <c r="P68" s="1313"/>
    </row>
    <row r="69" spans="1:16">
      <c r="A69" s="3221" t="s">
        <v>4733</v>
      </c>
      <c r="B69" s="3221"/>
      <c r="C69" s="3221"/>
      <c r="D69" s="3221"/>
      <c r="E69" s="3046">
        <f>SUM(E64:E68)</f>
        <v>48916.51</v>
      </c>
      <c r="F69" s="3046" t="s">
        <v>4736</v>
      </c>
      <c r="G69" s="3007">
        <f>E69+合院清单!C1195-'数据-汇总表'!E27</f>
        <v>228.23999999929219</v>
      </c>
      <c r="J69" s="3007">
        <f>SUM(J66:J68)</f>
        <v>13162.159999999998</v>
      </c>
      <c r="L69" s="3"/>
      <c r="M69" s="1313">
        <f>SUBTOTAL(9,M66:M68)</f>
        <v>13162.159999999998</v>
      </c>
      <c r="N69" s="1313">
        <f>SUBTOTAL(9,N66:N68)</f>
        <v>35795.658100000001</v>
      </c>
      <c r="O69" s="1313" t="s">
        <v>4541</v>
      </c>
      <c r="P69" s="1313" t="s">
        <v>4541</v>
      </c>
    </row>
    <row r="70" spans="1:16">
      <c r="L70" s="3"/>
      <c r="M70"/>
      <c r="N70"/>
    </row>
    <row r="71" spans="1:16">
      <c r="H71" s="3007">
        <f>173+40</f>
        <v>213</v>
      </c>
      <c r="J71" s="3007">
        <f>假设开发法!D7</f>
        <v>7640.3099999999995</v>
      </c>
      <c r="L71" s="3"/>
      <c r="M71"/>
      <c r="N71"/>
    </row>
    <row r="72" spans="1:16">
      <c r="E72" s="3011">
        <f>合院清单!C1204+洋房清单!E64+E66+洋房清单!E65+洋房清单!E67+洋房测绘!I120+洋房测绘!J120+洋房测绘!K120+洋房测绘!L120+洋房测绘!M120+规证!F117</f>
        <v>149246.94999999998</v>
      </c>
      <c r="J72" s="3007">
        <f>假设开发法!J7</f>
        <v>2186.04</v>
      </c>
      <c r="L72" s="3"/>
      <c r="M72"/>
      <c r="N72"/>
    </row>
    <row r="73" spans="1:16">
      <c r="E73" s="3011">
        <f>'数据-汇总表'!E3-洋房清单!E72</f>
        <v>0</v>
      </c>
      <c r="J73" s="3007">
        <f>假设开发法!H7</f>
        <v>5827.19</v>
      </c>
      <c r="L73" s="3"/>
      <c r="M73"/>
      <c r="N73"/>
    </row>
    <row r="74" spans="1:16">
      <c r="H74" s="3007">
        <f>J74-E64-E66-E67</f>
        <v>-6343.6399999999976</v>
      </c>
      <c r="J74" s="3007">
        <f>SUM(J71:J73)</f>
        <v>15653.539999999997</v>
      </c>
      <c r="L74" s="3"/>
      <c r="M74"/>
      <c r="N74"/>
    </row>
    <row r="75" spans="1:16">
      <c r="L75" s="3"/>
      <c r="M75"/>
      <c r="N75"/>
    </row>
    <row r="76" spans="1:16">
      <c r="L76" s="3"/>
      <c r="M76"/>
      <c r="N76"/>
    </row>
    <row r="77" spans="1:16">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0" zoomScale="90" zoomScaleNormal="100" zoomScaleSheetLayoutView="90" workbookViewId="0">
      <selection activeCell="E27" sqref="E27"/>
    </sheetView>
  </sheetViews>
  <sheetFormatPr defaultColWidth="9.21875" defaultRowHeight="13.8"/>
  <cols>
    <col min="1" max="1" width="12.109375" style="2211" customWidth="1"/>
    <col min="2" max="2" width="10.21875" style="2211" customWidth="1"/>
    <col min="3" max="3" width="18.44140625" style="2211" customWidth="1"/>
    <col min="4" max="4" width="11.6640625" style="2211" customWidth="1"/>
    <col min="5" max="5" width="13.33203125" style="2211" customWidth="1"/>
    <col min="6" max="8" width="11.44140625" style="2211" customWidth="1"/>
    <col min="9" max="9" width="11.109375" style="2211" customWidth="1"/>
    <col min="10" max="10" width="3.109375" style="2211" customWidth="1"/>
    <col min="11" max="16" width="10" style="2211" customWidth="1"/>
    <col min="17" max="17" width="2.6640625" style="2211" customWidth="1"/>
    <col min="18" max="18" width="9.33203125" style="2211" bestFit="1" customWidth="1"/>
    <col min="19" max="19" width="10.44140625" style="2211" bestFit="1" customWidth="1"/>
    <col min="20" max="16384" width="9.21875" style="2211"/>
  </cols>
  <sheetData>
    <row r="1" spans="1:16" ht="17.399999999999999">
      <c r="A1" s="2210" t="s">
        <v>1926</v>
      </c>
      <c r="B1" s="1388"/>
      <c r="C1" s="1388"/>
      <c r="D1" s="1388"/>
      <c r="E1" s="1388"/>
      <c r="F1" s="1388"/>
      <c r="G1" s="1388"/>
      <c r="H1" s="1388"/>
      <c r="I1" s="1388"/>
      <c r="J1" s="1388"/>
      <c r="K1" s="1388"/>
      <c r="L1" s="1388"/>
      <c r="M1" s="1388"/>
      <c r="N1" s="1388"/>
      <c r="O1" s="1388"/>
      <c r="P1" s="1388"/>
    </row>
    <row r="2" spans="1:16" ht="14.4">
      <c r="A2" s="3231" t="s">
        <v>1927</v>
      </c>
      <c r="B2" s="3231"/>
      <c r="C2" s="3231"/>
      <c r="D2" s="965" t="s">
        <v>1903</v>
      </c>
      <c r="E2" s="2212" t="s">
        <v>1904</v>
      </c>
      <c r="F2" s="1388"/>
      <c r="G2" s="2213"/>
      <c r="H2" s="2214"/>
      <c r="I2" s="2215" t="s">
        <v>1928</v>
      </c>
      <c r="J2" s="1388"/>
      <c r="K2" s="1388"/>
      <c r="L2" s="1388"/>
      <c r="M2" s="1388"/>
      <c r="N2" s="1423"/>
      <c r="O2" s="1388"/>
      <c r="P2" s="1388"/>
    </row>
    <row r="3" spans="1:16" ht="15" thickBot="1">
      <c r="A3" s="3232" t="s">
        <v>1901</v>
      </c>
      <c r="B3" s="3232"/>
      <c r="C3" s="3232"/>
      <c r="D3" s="3105">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4.4">
      <c r="A4" s="3233"/>
      <c r="B4" s="3234"/>
      <c r="C4" s="3235"/>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ht="14.4">
      <c r="A5" s="47" t="s">
        <v>1905</v>
      </c>
      <c r="B5" s="3236" t="s">
        <v>1906</v>
      </c>
      <c r="C5" s="3236"/>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36" t="s">
        <v>1907</v>
      </c>
      <c r="C6" s="3236"/>
      <c r="D6" s="48">
        <f>ROUND($D$3*E6/$E$3,2)</f>
        <v>30405.5</v>
      </c>
      <c r="E6" s="49">
        <f>E3-E5</f>
        <v>76499.510000000009</v>
      </c>
      <c r="F6" s="1388"/>
      <c r="G6" s="2220" t="s">
        <v>1908</v>
      </c>
      <c r="H6" s="1395" t="s">
        <v>1909</v>
      </c>
      <c r="I6" s="937">
        <f>ROUND(F31/D31,2)</f>
        <v>1.27</v>
      </c>
      <c r="J6" s="1388"/>
      <c r="K6" s="1388"/>
      <c r="L6" s="1388"/>
      <c r="M6" s="1388"/>
      <c r="N6" s="1388"/>
      <c r="O6" s="1388"/>
      <c r="P6" s="1388"/>
    </row>
    <row r="7" spans="1:16" ht="14.4">
      <c r="A7" s="3228"/>
      <c r="B7" s="3229"/>
      <c r="C7" s="3230"/>
      <c r="D7" s="2216" t="s">
        <v>1903</v>
      </c>
      <c r="E7" s="2221" t="s">
        <v>1910</v>
      </c>
      <c r="F7" s="1388"/>
      <c r="G7" s="2213" t="s">
        <v>1911</v>
      </c>
      <c r="H7" s="63"/>
      <c r="I7" s="418">
        <f>ROUND((规证!C105+规证!D105+规证!E105+规证!F105)/规证!C121,2)</f>
        <v>1.01</v>
      </c>
      <c r="J7" s="1388"/>
      <c r="K7" s="1388"/>
      <c r="L7" s="1388"/>
      <c r="M7" s="1388"/>
      <c r="N7" s="1388"/>
      <c r="O7" s="1388"/>
      <c r="P7" s="1388"/>
    </row>
    <row r="8" spans="1:16" ht="14.4">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ht="14.4">
      <c r="A9" s="2223"/>
      <c r="B9" s="2224"/>
      <c r="C9" s="48" t="s">
        <v>1915</v>
      </c>
      <c r="D9" s="48">
        <f t="shared" si="0"/>
        <v>0</v>
      </c>
      <c r="E9" s="52">
        <v>0</v>
      </c>
      <c r="F9" s="1388"/>
      <c r="G9" s="2222"/>
      <c r="H9" s="2222"/>
      <c r="I9" s="1388"/>
      <c r="J9" s="1388"/>
      <c r="K9" s="1388"/>
      <c r="L9" s="1388"/>
      <c r="M9" s="1388"/>
      <c r="N9" s="1388"/>
      <c r="O9" s="1388"/>
      <c r="P9" s="1388"/>
    </row>
    <row r="10" spans="1:16" ht="14.4">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ht="14.4">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ht="14.4">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ht="14.4">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ht="14.4">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 thickBot="1">
      <c r="A16" s="2219"/>
      <c r="B16" s="2224"/>
      <c r="C16" s="50" t="s">
        <v>1919</v>
      </c>
      <c r="D16" s="50">
        <f>SUM(D8:D15)</f>
        <v>57506.799999999996</v>
      </c>
      <c r="E16" s="53">
        <f>SUM(E8:E15)</f>
        <v>144685.73000000001</v>
      </c>
      <c r="F16" s="1388"/>
      <c r="G16" s="2222"/>
      <c r="H16" s="2225" t="s">
        <v>1931</v>
      </c>
      <c r="I16" s="2226"/>
      <c r="J16" s="1388"/>
      <c r="K16" s="3225" t="s">
        <v>1931</v>
      </c>
      <c r="L16" s="3226"/>
      <c r="M16" s="3226"/>
      <c r="N16" s="3226"/>
      <c r="O16" s="3226"/>
      <c r="P16" s="3227"/>
    </row>
    <row r="17" spans="1:19" ht="14.4">
      <c r="A17" s="2227" t="s">
        <v>1932</v>
      </c>
      <c r="B17" s="2228" t="s">
        <v>1933</v>
      </c>
      <c r="C17" s="2229" t="s">
        <v>1934</v>
      </c>
      <c r="D17" s="2230" t="s">
        <v>1922</v>
      </c>
      <c r="E17" s="2231" t="s">
        <v>1923</v>
      </c>
      <c r="F17" s="2232"/>
      <c r="G17" s="2233"/>
      <c r="H17" s="2234" t="s">
        <v>1935</v>
      </c>
      <c r="I17" s="2235" t="s">
        <v>1920</v>
      </c>
      <c r="J17" s="1388"/>
      <c r="K17" s="3222" t="s">
        <v>1936</v>
      </c>
      <c r="L17" s="3223"/>
      <c r="M17" s="3224"/>
      <c r="N17" s="3222" t="s">
        <v>1937</v>
      </c>
      <c r="O17" s="3223"/>
      <c r="P17" s="3224"/>
      <c r="R17" s="2213" t="s">
        <v>1938</v>
      </c>
      <c r="S17" s="63"/>
    </row>
    <row r="18" spans="1:19" ht="14.4">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ht="14.4">
      <c r="A19" s="2244"/>
      <c r="B19" s="50" t="s">
        <v>1921</v>
      </c>
      <c r="C19" s="3043" t="s">
        <v>4512</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ht="14.4">
      <c r="A20" s="2248"/>
      <c r="B20" s="50" t="s">
        <v>1949</v>
      </c>
      <c r="C20" s="3043" t="s">
        <v>4714</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ht="14.4">
      <c r="A21" s="2248"/>
      <c r="B21" s="50" t="s">
        <v>1949</v>
      </c>
      <c r="C21" s="2245" t="s">
        <v>3211</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ht="14.4">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ht="14.4">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ht="14.4">
      <c r="A24" s="2248"/>
      <c r="B24" s="50" t="s">
        <v>1949</v>
      </c>
      <c r="C24" s="3044" t="s">
        <v>4716</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ht="14.4">
      <c r="A25" s="2248"/>
      <c r="B25" s="50" t="s">
        <v>1949</v>
      </c>
      <c r="C25" s="3044" t="s">
        <v>4513</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ht="14.4">
      <c r="A26" s="2248"/>
      <c r="B26" s="50" t="s">
        <v>1949</v>
      </c>
      <c r="C26" s="3045" t="s">
        <v>4718</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ht="14.4">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ht="14.4">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4.4">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ht="14.4">
      <c r="A32" s="2218"/>
      <c r="B32" s="2218" t="s">
        <v>1955</v>
      </c>
      <c r="C32" s="2218"/>
      <c r="D32" s="2218"/>
      <c r="E32" s="1270">
        <f>SUMIF(C19:C26,"*住宅*",E19:E26)</f>
        <v>72747.44</v>
      </c>
      <c r="F32" s="2218"/>
      <c r="G32" s="2218"/>
      <c r="H32" s="1388"/>
      <c r="I32" s="1388"/>
      <c r="J32" s="1388"/>
      <c r="K32" s="1388"/>
      <c r="L32" s="1388"/>
      <c r="M32" s="1388"/>
      <c r="N32" s="1388"/>
      <c r="O32" s="1388"/>
      <c r="P32" s="1388"/>
    </row>
    <row r="33" spans="4:6">
      <c r="D33" s="2256"/>
    </row>
    <row r="35" spans="4:6">
      <c r="F35" s="2211">
        <f>105.7/149246.95*59319.7</f>
        <v>42.011527136735452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126" t="str">
        <f>项目基本情况!B1</f>
        <v>北京市北京市顺义区高丽营镇于庄03-31号地块出让国有建设用地使用权及在建建筑物房地产抵押价值预评估</v>
      </c>
      <c r="C37" s="3126"/>
      <c r="D37" s="3126"/>
      <c r="E37" s="3126"/>
      <c r="F37" s="3126"/>
      <c r="G37" s="3126"/>
      <c r="H37" s="3126"/>
      <c r="I37" s="3126"/>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7734375" defaultRowHeight="13.2"/>
  <cols>
    <col min="1" max="1" width="20.88671875" style="2330" customWidth="1"/>
    <col min="2" max="2" width="12" style="2260" customWidth="1"/>
    <col min="3" max="3" width="10.77734375" style="2260" customWidth="1"/>
    <col min="4" max="4" width="9.109375" style="2331" customWidth="1"/>
    <col min="5" max="5" width="15" style="2260" bestFit="1" customWidth="1"/>
    <col min="6" max="10" width="8.88671875" style="2260" customWidth="1"/>
    <col min="11" max="12" width="12.33203125" style="2174" customWidth="1"/>
    <col min="13" max="13" width="8.6640625" style="2260" customWidth="1"/>
    <col min="14" max="14" width="11.88671875" style="2260" customWidth="1"/>
    <col min="15" max="15" width="8.44140625" style="2260" customWidth="1"/>
    <col min="16" max="17" width="10.88671875" style="2260" customWidth="1"/>
    <col min="18" max="19" width="12.44140625" style="2260" customWidth="1"/>
    <col min="20" max="20" width="12.109375" style="2260" customWidth="1"/>
    <col min="21" max="21" width="7.44140625" style="2260" customWidth="1"/>
    <col min="22" max="22" width="6.33203125" style="2260" customWidth="1"/>
    <col min="23" max="30" width="6.77734375" style="2260" customWidth="1"/>
    <col min="31" max="31" width="8" style="2260" customWidth="1"/>
    <col min="32" max="34" width="7.21875" style="2260" customWidth="1"/>
    <col min="35" max="39" width="8" style="2260" customWidth="1"/>
    <col min="40" max="40" width="13.77734375" style="2259"/>
    <col min="41" max="41" width="11.6640625" style="2259" customWidth="1"/>
    <col min="42" max="42" width="9.77734375" style="2259" customWidth="1"/>
    <col min="43" max="67" width="13.77734375" style="2259"/>
    <col min="68" max="16384" width="13.77734375" style="2260"/>
  </cols>
  <sheetData>
    <row r="1" spans="1:67" ht="18"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4.4"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57.6">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3.8">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800">
        <v>4.4999999999999998E-2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3.8">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800">
        <v>4.4999999999999998E-2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3.8">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800">
        <v>4.4999999999999998E-2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4531</v>
      </c>
      <c r="AO8" s="55">
        <f t="shared" ca="1" si="8"/>
        <v>45806</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3.8">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4533</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3.8">
      <c r="A10" s="2291" t="str">
        <f>'数据-汇总表'!C23</f>
        <v>地下车库</v>
      </c>
      <c r="B10" s="2292" t="str">
        <f t="shared" si="1"/>
        <v>经营性</v>
      </c>
      <c r="C10" s="2293" t="s">
        <v>3190</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4543</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3.8">
      <c r="A11" s="2291" t="str">
        <f>'数据-汇总表'!C24</f>
        <v>洋房地下独立库房</v>
      </c>
      <c r="B11" s="2292" t="str">
        <f t="shared" si="1"/>
        <v>经营性</v>
      </c>
      <c r="C11" s="2293" t="s">
        <v>4487</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4535</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3.8">
      <c r="A12" s="2291" t="str">
        <f>'数据-汇总表'!C25</f>
        <v>低密度地下配套库房</v>
      </c>
      <c r="B12" s="2292" t="str">
        <f t="shared" si="1"/>
        <v>经营性</v>
      </c>
      <c r="C12" s="2293" t="s">
        <v>4487</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3.8">
      <c r="A13" s="2291" t="str">
        <f>'数据-汇总表'!C26</f>
        <v>洋房配套库房</v>
      </c>
      <c r="B13" s="2292" t="str">
        <f t="shared" si="1"/>
        <v>经营性</v>
      </c>
      <c r="C13" s="2293" t="s">
        <v>4487</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4">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8.8">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8" thickBot="1">
      <c r="A17" s="2300"/>
      <c r="B17" s="730"/>
      <c r="C17" s="1575"/>
      <c r="D17" s="2258"/>
      <c r="E17" s="2258"/>
      <c r="F17" s="1575"/>
      <c r="G17" s="1575"/>
      <c r="H17" s="1575"/>
      <c r="I17" s="1575"/>
      <c r="J17" s="1575"/>
      <c r="K17" s="3123">
        <f>K16-K15</f>
        <v>147242.25</v>
      </c>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f>(0.993*(32718.36+7640.31+32388.77)
+0.978*645.96+0.983*(21662.76+5827.19+41549.64+2186.04))/144619.03</f>
        <v>0.98800794812411596</v>
      </c>
      <c r="I18" s="2262"/>
      <c r="J18" s="2262"/>
      <c r="K18" s="166"/>
      <c r="L18" s="166"/>
      <c r="M18" s="1575"/>
      <c r="N18" s="1575"/>
      <c r="O18" s="1575"/>
      <c r="P18" s="1575"/>
      <c r="Q18" s="1575"/>
      <c r="R18" s="1575"/>
      <c r="S18" s="1575">
        <f>(2500*5827.19+2500*105.7)/10000</f>
        <v>1483.2224999999999</v>
      </c>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4">
      <c r="A20" s="2302" t="s">
        <v>2010</v>
      </c>
      <c r="B20" s="111">
        <v>2</v>
      </c>
      <c r="C20" s="2262" t="s">
        <v>2011</v>
      </c>
      <c r="D20" s="2263"/>
      <c r="E20" s="2262"/>
      <c r="F20" s="2262"/>
      <c r="G20" s="2262"/>
      <c r="H20" s="2262"/>
      <c r="I20" s="2262"/>
      <c r="J20" s="2262"/>
      <c r="K20" s="166"/>
      <c r="L20" s="166"/>
      <c r="M20" s="1575">
        <f>(200*645.96 +200*11.72)/10000</f>
        <v>13.153600000000001</v>
      </c>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4">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4">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4">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8.8">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8.8">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9.4"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8.8">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8.8">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9.4"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4">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4">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4">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3.8"/>
  <cols>
    <col min="1" max="1" width="9.44140625" style="2353" customWidth="1"/>
    <col min="2" max="2" width="24.44140625" style="2398" customWidth="1"/>
    <col min="3" max="3" width="24.44140625" style="2397" customWidth="1"/>
    <col min="4" max="4" width="2.6640625" style="2397" customWidth="1"/>
    <col min="5" max="5" width="5.88671875" style="2397" customWidth="1"/>
    <col min="6" max="6" width="27" style="2398" customWidth="1"/>
    <col min="7" max="7" width="27" style="2399" customWidth="1"/>
    <col min="8" max="8" width="11.88671875" style="2377" customWidth="1"/>
    <col min="9" max="9" width="16.77734375" style="2378" customWidth="1"/>
    <col min="10" max="10" width="2.6640625" style="2377" customWidth="1"/>
    <col min="11" max="11" width="11.88671875" style="2377" customWidth="1"/>
    <col min="12" max="12" width="16.77734375" style="2378" customWidth="1"/>
    <col min="13" max="13" width="2.6640625" style="2377" customWidth="1"/>
    <col min="14" max="14" width="11.88671875" style="2377" customWidth="1"/>
    <col min="15" max="15" width="16.77734375" style="2378" customWidth="1"/>
    <col min="16" max="16" width="2.6640625" style="2377" customWidth="1"/>
    <col min="17" max="17" width="11.88671875" style="2377" customWidth="1"/>
    <col min="18" max="18" width="16.77734375" style="2379" customWidth="1"/>
    <col min="19" max="29" width="9" style="2352"/>
    <col min="30" max="16384" width="9" style="2353"/>
  </cols>
  <sheetData>
    <row r="1" spans="1:29" s="2346" customFormat="1" ht="18" thickBot="1">
      <c r="A1" s="3237" t="s">
        <v>2073</v>
      </c>
      <c r="B1" s="3238"/>
      <c r="C1" s="3238"/>
      <c r="D1" s="3238"/>
      <c r="E1" s="3238"/>
      <c r="F1" s="3238"/>
      <c r="G1" s="3238"/>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 thickBot="1">
      <c r="A2" s="2347"/>
      <c r="B2" s="2348"/>
      <c r="C2" s="2349" t="s">
        <v>2074</v>
      </c>
      <c r="D2" s="2350"/>
      <c r="E2" s="2351"/>
      <c r="F2" s="2271"/>
      <c r="G2" s="2349" t="s">
        <v>2075</v>
      </c>
      <c r="H2" s="2352"/>
      <c r="I2" s="2352"/>
      <c r="J2" s="2352"/>
      <c r="K2" s="2352"/>
      <c r="L2" s="2352"/>
      <c r="M2" s="2352"/>
      <c r="N2" s="2352"/>
      <c r="O2" s="2352"/>
      <c r="P2" s="2352"/>
      <c r="Q2" s="2352"/>
      <c r="R2" s="2352"/>
    </row>
    <row r="3" spans="1:29" ht="28.8">
      <c r="A3" s="413" t="s">
        <v>2076</v>
      </c>
      <c r="B3" s="1264" t="s">
        <v>2077</v>
      </c>
      <c r="C3" s="3081" t="s">
        <v>4639</v>
      </c>
      <c r="D3" s="2354"/>
      <c r="E3" s="429" t="s">
        <v>2076</v>
      </c>
      <c r="F3" s="2355" t="s">
        <v>2078</v>
      </c>
      <c r="G3" s="2356"/>
      <c r="H3" s="2352"/>
      <c r="I3" s="2352"/>
      <c r="J3" s="2352"/>
      <c r="K3" s="2352"/>
      <c r="L3" s="2352"/>
      <c r="M3" s="2352"/>
      <c r="N3" s="2352"/>
      <c r="O3" s="2352"/>
      <c r="P3" s="2352"/>
      <c r="Q3" s="2352"/>
      <c r="R3" s="2352"/>
    </row>
    <row r="4" spans="1:29" ht="14.4">
      <c r="A4" s="429"/>
      <c r="B4" s="1789" t="s">
        <v>2079</v>
      </c>
      <c r="C4" s="3082" t="s">
        <v>4645</v>
      </c>
      <c r="D4" s="2354"/>
      <c r="E4" s="2357"/>
      <c r="F4" s="42" t="s">
        <v>2080</v>
      </c>
      <c r="G4" s="2358"/>
      <c r="H4" s="2352"/>
      <c r="I4" s="2352"/>
      <c r="J4" s="2352"/>
      <c r="K4" s="2352"/>
      <c r="L4" s="2352"/>
      <c r="M4" s="2352"/>
      <c r="N4" s="2352"/>
      <c r="O4" s="2352"/>
      <c r="P4" s="2352"/>
      <c r="Q4" s="2352"/>
      <c r="R4" s="2352"/>
    </row>
    <row r="5" spans="1:29" ht="14.4">
      <c r="A5" s="429"/>
      <c r="B5" s="1789" t="s">
        <v>2081</v>
      </c>
      <c r="C5" s="3082"/>
      <c r="D5" s="2354"/>
      <c r="E5" s="2357"/>
      <c r="F5" s="1789" t="s">
        <v>2082</v>
      </c>
      <c r="G5" s="2358"/>
      <c r="H5" s="2352"/>
      <c r="I5" s="2352"/>
      <c r="J5" s="2352"/>
      <c r="K5" s="2352"/>
      <c r="L5" s="2352"/>
      <c r="M5" s="2352"/>
      <c r="N5" s="2352"/>
      <c r="O5" s="2352"/>
      <c r="P5" s="2352"/>
      <c r="Q5" s="2352"/>
      <c r="R5" s="2352"/>
    </row>
    <row r="6" spans="1:29" ht="14.4">
      <c r="A6" s="429"/>
      <c r="B6" s="1789" t="s">
        <v>2083</v>
      </c>
      <c r="C6" s="3083" t="s">
        <v>4639</v>
      </c>
      <c r="D6" s="2354"/>
      <c r="E6" s="2357"/>
      <c r="F6" s="1789" t="s">
        <v>2084</v>
      </c>
      <c r="G6" s="2358"/>
      <c r="H6" s="2352"/>
      <c r="I6" s="2352"/>
      <c r="J6" s="2352"/>
      <c r="K6" s="2352"/>
      <c r="L6" s="2352"/>
      <c r="M6" s="2352"/>
      <c r="N6" s="2352"/>
      <c r="O6" s="2352"/>
      <c r="P6" s="2352"/>
      <c r="Q6" s="2352"/>
      <c r="R6" s="2352"/>
    </row>
    <row r="7" spans="1:29" ht="15" thickBot="1">
      <c r="A7" s="429"/>
      <c r="B7" s="1789" t="s">
        <v>2082</v>
      </c>
      <c r="C7" s="3083" t="s">
        <v>4639</v>
      </c>
      <c r="D7" s="2359"/>
      <c r="E7" s="2360"/>
      <c r="F7" s="2361" t="s">
        <v>2085</v>
      </c>
      <c r="G7" s="2362"/>
      <c r="H7" s="2352"/>
      <c r="I7" s="2352"/>
      <c r="J7" s="2352"/>
      <c r="K7" s="2352"/>
      <c r="L7" s="2352"/>
      <c r="M7" s="2352"/>
      <c r="N7" s="2352"/>
      <c r="O7" s="2352"/>
      <c r="P7" s="2352"/>
      <c r="Q7" s="2352"/>
      <c r="R7" s="2352"/>
    </row>
    <row r="8" spans="1:29" ht="14.4">
      <c r="A8" s="429"/>
      <c r="B8" s="1789" t="s">
        <v>2084</v>
      </c>
      <c r="C8" s="3083" t="s">
        <v>4632</v>
      </c>
      <c r="D8" s="2359"/>
      <c r="E8" s="2359"/>
      <c r="F8" s="1129"/>
      <c r="G8" s="1129"/>
      <c r="H8" s="2352"/>
      <c r="I8" s="2352"/>
      <c r="J8" s="2352"/>
      <c r="K8" s="2352"/>
      <c r="L8" s="2352"/>
      <c r="M8" s="2352"/>
      <c r="N8" s="2352"/>
      <c r="O8" s="2352"/>
      <c r="P8" s="2352"/>
      <c r="Q8" s="2352"/>
      <c r="R8" s="2352"/>
    </row>
    <row r="9" spans="1:29" ht="14.4">
      <c r="A9" s="429"/>
      <c r="B9" s="1789" t="s">
        <v>2086</v>
      </c>
      <c r="C9" s="3082" t="s">
        <v>4639</v>
      </c>
      <c r="D9" s="2354"/>
      <c r="E9" s="2359"/>
      <c r="F9" s="1129"/>
      <c r="G9" s="1129"/>
      <c r="H9" s="2352"/>
      <c r="I9" s="2352"/>
      <c r="J9" s="2352"/>
      <c r="K9" s="2352"/>
      <c r="L9" s="2352"/>
      <c r="M9" s="2352"/>
      <c r="N9" s="2352"/>
      <c r="O9" s="2352"/>
      <c r="P9" s="2352"/>
      <c r="Q9" s="2352"/>
      <c r="R9" s="2352"/>
    </row>
    <row r="10" spans="1:29" s="115" customFormat="1" ht="15" thickBot="1">
      <c r="A10" s="2363"/>
      <c r="B10" s="2364" t="s">
        <v>2087</v>
      </c>
      <c r="C10" s="3084" t="s">
        <v>4711</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7.399999999999999">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8" thickBot="1">
      <c r="A13" s="2375" t="s">
        <v>2088</v>
      </c>
      <c r="B13" s="2369"/>
      <c r="C13" s="2369"/>
      <c r="D13" s="2376"/>
      <c r="E13" s="2369"/>
      <c r="F13" s="2369"/>
      <c r="G13" s="2369"/>
    </row>
    <row r="14" spans="1:29" ht="15" thickBot="1">
      <c r="A14" s="2380"/>
      <c r="B14" s="2381"/>
      <c r="C14" s="2382" t="s">
        <v>2089</v>
      </c>
      <c r="D14" s="2354"/>
      <c r="E14" s="2383"/>
      <c r="F14" s="2383"/>
      <c r="G14" s="2349" t="s">
        <v>2090</v>
      </c>
    </row>
    <row r="15" spans="1:29" ht="28.8">
      <c r="A15" s="67" t="s">
        <v>2091</v>
      </c>
      <c r="B15" s="1263" t="s">
        <v>2077</v>
      </c>
      <c r="C15" s="2384" t="str">
        <f>C3</f>
        <v>一般</v>
      </c>
      <c r="D15" s="2354"/>
      <c r="E15" s="2385" t="s">
        <v>2092</v>
      </c>
      <c r="F15" s="1263" t="s">
        <v>2093</v>
      </c>
      <c r="G15" s="133">
        <f>G3</f>
        <v>0</v>
      </c>
    </row>
    <row r="16" spans="1:29" ht="14.4">
      <c r="A16" s="643"/>
      <c r="B16" s="2386" t="s">
        <v>2079</v>
      </c>
      <c r="C16" s="2387" t="str">
        <f>C4</f>
        <v>较差</v>
      </c>
      <c r="D16" s="2354"/>
      <c r="E16" s="2388"/>
      <c r="F16" s="2389" t="s">
        <v>2080</v>
      </c>
      <c r="G16" s="134">
        <f>G4</f>
        <v>0</v>
      </c>
    </row>
    <row r="17" spans="1:18" ht="14.4">
      <c r="A17" s="643"/>
      <c r="B17" s="2386" t="s">
        <v>2081</v>
      </c>
      <c r="C17" s="2387">
        <f>C5</f>
        <v>0</v>
      </c>
      <c r="D17" s="2359"/>
      <c r="E17" s="2388"/>
      <c r="F17" s="2389" t="s">
        <v>2094</v>
      </c>
      <c r="G17" s="1563"/>
    </row>
    <row r="18" spans="1:18" ht="14.4">
      <c r="A18" s="643"/>
      <c r="B18" s="2389" t="s">
        <v>2083</v>
      </c>
      <c r="C18" s="134" t="str">
        <f>C6</f>
        <v>一般</v>
      </c>
      <c r="D18" s="2359"/>
      <c r="E18" s="2388"/>
      <c r="F18" s="2389" t="s">
        <v>2085</v>
      </c>
      <c r="G18" s="134">
        <f>G7</f>
        <v>0</v>
      </c>
    </row>
    <row r="19" spans="1:18" ht="14.4">
      <c r="A19" s="643"/>
      <c r="B19" s="2389" t="s">
        <v>2095</v>
      </c>
      <c r="C19" s="3085" t="s">
        <v>4647</v>
      </c>
      <c r="D19" s="2354"/>
      <c r="E19" s="2388"/>
      <c r="F19" s="1789" t="s">
        <v>2082</v>
      </c>
      <c r="G19" s="134">
        <f>G5</f>
        <v>0</v>
      </c>
    </row>
    <row r="20" spans="1:18" ht="14.4">
      <c r="A20" s="643"/>
      <c r="B20" s="2389" t="s">
        <v>2096</v>
      </c>
      <c r="C20" s="2387" t="str">
        <f>C9</f>
        <v>一般</v>
      </c>
      <c r="D20" s="2359"/>
      <c r="E20" s="2388"/>
      <c r="F20" s="1789" t="s">
        <v>2097</v>
      </c>
      <c r="G20" s="134">
        <f>G6</f>
        <v>0</v>
      </c>
    </row>
    <row r="21" spans="1:18" ht="14.4">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 thickBot="1">
      <c r="A23" s="643"/>
      <c r="B23" s="2389" t="s">
        <v>2098</v>
      </c>
      <c r="C23" s="2390" t="s">
        <v>4648</v>
      </c>
      <c r="D23" s="2377"/>
      <c r="E23" s="2391"/>
      <c r="F23" s="2392" t="s">
        <v>2099</v>
      </c>
      <c r="G23" s="2393"/>
      <c r="H23" s="2377"/>
      <c r="I23" s="2378"/>
      <c r="J23" s="2377"/>
      <c r="K23" s="2377"/>
      <c r="L23" s="2378"/>
      <c r="M23" s="2377"/>
      <c r="N23" s="2377"/>
      <c r="O23" s="2378"/>
      <c r="P23" s="2377"/>
      <c r="Q23" s="2377"/>
      <c r="R23" s="2379"/>
    </row>
    <row r="24" spans="1:18" s="2352" customFormat="1" ht="1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6" sqref="C16"/>
    </sheetView>
  </sheetViews>
  <sheetFormatPr defaultColWidth="9" defaultRowHeight="14.4"/>
  <cols>
    <col min="1" max="1" width="23.33203125" style="1732" customWidth="1"/>
    <col min="2" max="9" width="15.77734375" style="1732" customWidth="1"/>
    <col min="10" max="16384" width="9" style="1732"/>
  </cols>
  <sheetData>
    <row r="1" spans="1:10" ht="16.2">
      <c r="A1" s="1737" t="s">
        <v>1360</v>
      </c>
      <c r="B1" s="1737">
        <f>SUM(B14:B23)</f>
        <v>319062.95</v>
      </c>
      <c r="C1" s="1736"/>
      <c r="D1" s="1736"/>
      <c r="E1" s="1736"/>
      <c r="F1" s="1736"/>
      <c r="G1" s="1734"/>
    </row>
    <row r="2" spans="1:10" ht="16.2">
      <c r="A2" s="1737" t="s">
        <v>1348</v>
      </c>
      <c r="B2" s="1737">
        <f>SUM(C14:C23)</f>
        <v>123409.32</v>
      </c>
      <c r="C2" s="1736"/>
      <c r="D2" s="1736"/>
      <c r="E2" s="1736"/>
      <c r="F2" s="1736"/>
      <c r="G2" s="1734"/>
    </row>
    <row r="3" spans="1:10" ht="15.6">
      <c r="A3" s="1737" t="s">
        <v>1357</v>
      </c>
      <c r="B3" s="1738">
        <f>项目基本情况!D3</f>
        <v>43878</v>
      </c>
      <c r="C3" s="1736"/>
      <c r="D3" s="1736"/>
      <c r="E3" s="1736"/>
      <c r="F3" s="1736"/>
      <c r="G3" s="1734"/>
    </row>
    <row r="4" spans="1:10" ht="31.2">
      <c r="A4" s="1737" t="s">
        <v>1356</v>
      </c>
      <c r="B4" s="1737" t="s">
        <v>1355</v>
      </c>
      <c r="C4" s="1737" t="s">
        <v>1354</v>
      </c>
      <c r="D4" s="1737" t="s">
        <v>1353</v>
      </c>
      <c r="E4" s="1736"/>
      <c r="F4" s="1734"/>
      <c r="G4" s="1734"/>
    </row>
    <row r="5" spans="1:10" ht="15.6">
      <c r="A5" s="1737" t="s">
        <v>1352</v>
      </c>
      <c r="B5" s="1737">
        <f ca="1">SUM(D14:D23)</f>
        <v>697125</v>
      </c>
      <c r="C5" s="1737">
        <f ca="1">ROUND(B5*10000/$B$1,0)</f>
        <v>21849</v>
      </c>
      <c r="D5" s="1737">
        <f ca="1">ROUND(B5*10000/$B$2,0)</f>
        <v>56489</v>
      </c>
      <c r="E5" s="1736"/>
      <c r="F5" s="1734"/>
      <c r="G5" s="1734"/>
    </row>
    <row r="6" spans="1:10" ht="15.6">
      <c r="A6" s="1737" t="s">
        <v>1351</v>
      </c>
      <c r="B6" s="1737">
        <f>SUM(G14:G23)</f>
        <v>0</v>
      </c>
      <c r="C6" s="1737">
        <f>ROUND(B6*10000/$B$1,0)</f>
        <v>0</v>
      </c>
      <c r="D6" s="1737">
        <f>ROUND(B6*10000/$B$2,0)</f>
        <v>0</v>
      </c>
      <c r="E6" s="1736"/>
      <c r="F6" s="1734"/>
      <c r="G6" s="1734"/>
    </row>
    <row r="7" spans="1:10" ht="15.6">
      <c r="A7" s="1737" t="s">
        <v>1359</v>
      </c>
      <c r="B7" s="1737">
        <f ca="1">SUM(H14:H23)</f>
        <v>697125</v>
      </c>
      <c r="C7" s="1737">
        <f ca="1">ROUND(B7*10000/$B$1,0)</f>
        <v>21849</v>
      </c>
      <c r="D7" s="1737">
        <f ca="1">ROUND(B7*10000/$B$2,0)</f>
        <v>56489</v>
      </c>
      <c r="E7" s="1736"/>
      <c r="F7" s="1734"/>
      <c r="G7" s="1734"/>
    </row>
    <row r="8" spans="1:10" ht="15.6">
      <c r="A8" s="1737" t="s">
        <v>1280</v>
      </c>
      <c r="B8" s="1737">
        <f>SUM(I14:I23)</f>
        <v>0</v>
      </c>
      <c r="C8" s="1737">
        <f>ROUND(B8*10000/$B$1,0)</f>
        <v>0</v>
      </c>
      <c r="D8" s="1737">
        <f>ROUND(B8*10000/$B$2,0)</f>
        <v>0</v>
      </c>
      <c r="E8" s="1736"/>
      <c r="F8" s="1734"/>
      <c r="G8" s="1734"/>
    </row>
    <row r="9" spans="1:10" ht="15.6">
      <c r="A9" s="1737" t="s">
        <v>1350</v>
      </c>
      <c r="B9" s="1739"/>
      <c r="C9" s="1736"/>
      <c r="D9" s="1736"/>
      <c r="E9" s="1736"/>
      <c r="F9" s="1734"/>
      <c r="G9" s="1734"/>
    </row>
    <row r="10" spans="1:10" ht="15.6">
      <c r="A10" s="1737" t="s">
        <v>1349</v>
      </c>
      <c r="B10" s="1739"/>
      <c r="C10" s="1736"/>
      <c r="D10" s="1736"/>
      <c r="E10" s="1736"/>
      <c r="F10" s="1734"/>
      <c r="G10" s="1734"/>
    </row>
    <row r="11" spans="1:10" ht="15.6">
      <c r="A11" s="1737" t="s">
        <v>1365</v>
      </c>
      <c r="B11" s="1739"/>
      <c r="C11" s="1736"/>
      <c r="D11" s="1736"/>
      <c r="E11" s="1736"/>
      <c r="F11" s="1734"/>
      <c r="G11" s="1734"/>
    </row>
    <row r="12" spans="1:10" ht="15.6">
      <c r="A12" s="1736"/>
      <c r="B12" s="1736"/>
      <c r="C12" s="1736"/>
      <c r="D12" s="1736"/>
      <c r="E12" s="1736"/>
      <c r="F12" s="1734"/>
      <c r="G12" s="1734"/>
    </row>
    <row r="13" spans="1:10" ht="31.8">
      <c r="A13" s="1742" t="s">
        <v>1364</v>
      </c>
      <c r="B13" s="1735" t="s">
        <v>1361</v>
      </c>
      <c r="C13" s="1735" t="s">
        <v>1363</v>
      </c>
      <c r="D13" s="1735" t="s">
        <v>1362</v>
      </c>
      <c r="E13" s="1737" t="s">
        <v>1354</v>
      </c>
      <c r="F13" s="1737" t="s">
        <v>1353</v>
      </c>
      <c r="G13" s="1735" t="s">
        <v>1347</v>
      </c>
      <c r="H13" s="1735" t="s">
        <v>1358</v>
      </c>
      <c r="I13" s="1735" t="s">
        <v>1346</v>
      </c>
      <c r="J13" s="1734"/>
    </row>
    <row r="14" spans="1:10" ht="15.6">
      <c r="A14" s="1733" t="s">
        <v>1345</v>
      </c>
      <c r="B14" s="1735">
        <f>结果表!B118</f>
        <v>149246.95000000001</v>
      </c>
      <c r="C14" s="1735">
        <f>结果表!C118</f>
        <v>59319.7</v>
      </c>
      <c r="D14" s="1735">
        <f ca="1">结果表!H118</f>
        <v>392611</v>
      </c>
      <c r="E14" s="1735">
        <f ca="1">ROUND(D14*10000/B14,0)</f>
        <v>26306</v>
      </c>
      <c r="F14" s="1735">
        <f ca="1">ROUND(D14*10000/C14,0)</f>
        <v>66186</v>
      </c>
      <c r="G14" s="1735" t="str">
        <f>结果表!D122</f>
        <v>——</v>
      </c>
      <c r="H14" s="1735">
        <f ca="1">结果表!D124</f>
        <v>392611</v>
      </c>
      <c r="I14" s="1735" t="str">
        <f>结果表!D126</f>
        <v>——</v>
      </c>
      <c r="J14" s="1734"/>
    </row>
    <row r="15" spans="1:10" ht="15.6">
      <c r="A15" s="1733" t="s">
        <v>1344</v>
      </c>
      <c r="B15" s="3124">
        <f>[1]系统读取表!$B$14</f>
        <v>169816</v>
      </c>
      <c r="C15" s="3124">
        <f>[1]系统读取表!$C$14</f>
        <v>64089.62</v>
      </c>
      <c r="D15" s="3124">
        <f>[1]系统读取表!$D$14</f>
        <v>304514</v>
      </c>
      <c r="E15" s="1735">
        <f t="shared" ref="E15:E23" si="0">ROUND(D15*10000/B15,0)</f>
        <v>17932</v>
      </c>
      <c r="F15" s="1735">
        <f t="shared" ref="F15:F23" si="1">ROUND(D15*10000/C15,0)</f>
        <v>47514</v>
      </c>
      <c r="G15" s="1741"/>
      <c r="H15" s="3125">
        <f>D15</f>
        <v>304514</v>
      </c>
      <c r="I15" s="1740"/>
      <c r="J15" s="1734"/>
    </row>
    <row r="16" spans="1:10" ht="15.6">
      <c r="A16" s="1733" t="s">
        <v>1343</v>
      </c>
      <c r="B16" s="1740"/>
      <c r="C16" s="1740"/>
      <c r="D16" s="1740"/>
      <c r="E16" s="1735" t="e">
        <f t="shared" si="0"/>
        <v>#DIV/0!</v>
      </c>
      <c r="F16" s="1735" t="e">
        <f t="shared" si="1"/>
        <v>#DIV/0!</v>
      </c>
      <c r="G16" s="1741"/>
      <c r="H16" s="1741"/>
      <c r="I16" s="1740"/>
    </row>
    <row r="17" spans="1:9" ht="15.6">
      <c r="A17" s="1733" t="s">
        <v>1342</v>
      </c>
      <c r="B17" s="1740"/>
      <c r="C17" s="1740"/>
      <c r="D17" s="1740"/>
      <c r="E17" s="1735" t="e">
        <f t="shared" si="0"/>
        <v>#DIV/0!</v>
      </c>
      <c r="F17" s="1735" t="e">
        <f t="shared" si="1"/>
        <v>#DIV/0!</v>
      </c>
      <c r="G17" s="1741"/>
      <c r="H17" s="1741"/>
      <c r="I17" s="1740"/>
    </row>
    <row r="18" spans="1:9" ht="15.6">
      <c r="A18" s="1733" t="s">
        <v>1341</v>
      </c>
      <c r="B18" s="1740"/>
      <c r="C18" s="1740"/>
      <c r="D18" s="1740"/>
      <c r="E18" s="1735" t="e">
        <f t="shared" si="0"/>
        <v>#DIV/0!</v>
      </c>
      <c r="F18" s="1735" t="e">
        <f t="shared" si="1"/>
        <v>#DIV/0!</v>
      </c>
      <c r="G18" s="1740"/>
      <c r="H18" s="1740"/>
      <c r="I18" s="1740"/>
    </row>
    <row r="19" spans="1:9" ht="15.6">
      <c r="A19" s="1733" t="s">
        <v>1340</v>
      </c>
      <c r="B19" s="1740"/>
      <c r="C19" s="1740"/>
      <c r="D19" s="1740"/>
      <c r="E19" s="1735" t="e">
        <f t="shared" si="0"/>
        <v>#DIV/0!</v>
      </c>
      <c r="F19" s="1735" t="e">
        <f t="shared" si="1"/>
        <v>#DIV/0!</v>
      </c>
      <c r="G19" s="1740"/>
      <c r="H19" s="1740"/>
      <c r="I19" s="1740"/>
    </row>
    <row r="20" spans="1:9" ht="15.6">
      <c r="A20" s="1733" t="s">
        <v>1339</v>
      </c>
      <c r="B20" s="1740"/>
      <c r="C20" s="1740"/>
      <c r="D20" s="1740"/>
      <c r="E20" s="1735" t="e">
        <f t="shared" si="0"/>
        <v>#DIV/0!</v>
      </c>
      <c r="F20" s="1735" t="e">
        <f t="shared" si="1"/>
        <v>#DIV/0!</v>
      </c>
      <c r="G20" s="1740"/>
      <c r="H20" s="1740"/>
      <c r="I20" s="1740"/>
    </row>
    <row r="21" spans="1:9" ht="15.6">
      <c r="A21" s="1733" t="s">
        <v>1338</v>
      </c>
      <c r="B21" s="1740"/>
      <c r="C21" s="1740"/>
      <c r="D21" s="1740"/>
      <c r="E21" s="1735" t="e">
        <f t="shared" si="0"/>
        <v>#DIV/0!</v>
      </c>
      <c r="F21" s="1735" t="e">
        <f t="shared" si="1"/>
        <v>#DIV/0!</v>
      </c>
      <c r="G21" s="1740"/>
      <c r="H21" s="1740"/>
      <c r="I21" s="1740"/>
    </row>
    <row r="22" spans="1:9" ht="15.6">
      <c r="A22" s="1733" t="s">
        <v>1337</v>
      </c>
      <c r="B22" s="1740"/>
      <c r="C22" s="1740"/>
      <c r="D22" s="1740"/>
      <c r="E22" s="1735" t="e">
        <f t="shared" si="0"/>
        <v>#DIV/0!</v>
      </c>
      <c r="F22" s="1735" t="e">
        <f t="shared" si="1"/>
        <v>#DIV/0!</v>
      </c>
      <c r="G22" s="1740"/>
      <c r="H22" s="1740"/>
      <c r="I22" s="1740"/>
    </row>
    <row r="23" spans="1:9" ht="15.6">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9" zoomScaleNormal="100" zoomScaleSheetLayoutView="100" zoomScalePageLayoutView="80" workbookViewId="0">
      <selection activeCell="D118" sqref="D118:I118"/>
    </sheetView>
  </sheetViews>
  <sheetFormatPr defaultColWidth="12.6640625" defaultRowHeight="21.75" customHeight="1"/>
  <cols>
    <col min="1" max="2" width="12.6640625" style="2406"/>
    <col min="3" max="4" width="12.6640625" style="2406" customWidth="1"/>
    <col min="5" max="9" width="12.6640625" style="2406"/>
    <col min="10" max="11" width="12.6640625" style="793" customWidth="1"/>
    <col min="12" max="12" width="12.6640625" style="793"/>
    <col min="13" max="13" width="14.109375" style="793" bestFit="1" customWidth="1"/>
    <col min="14" max="26" width="12.6640625" style="793"/>
    <col min="27" max="35" width="12.6640625" style="2405"/>
    <col min="36" max="16384" width="12.6640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272" t="str">
        <f>项目基本情况!S2</f>
        <v>北京市北京市顺义区高丽营镇于庄03-31号地块出让国有建设用地使用权及在建建筑物房地产</v>
      </c>
      <c r="B2" s="3273"/>
      <c r="C2" s="3273"/>
      <c r="D2" s="3273"/>
      <c r="E2" s="3273"/>
      <c r="F2" s="3273"/>
      <c r="G2" s="3273"/>
      <c r="H2" s="3273"/>
      <c r="I2" s="3274"/>
    </row>
    <row r="3" spans="1:12" ht="13.2">
      <c r="A3" s="3276" t="s">
        <v>2104</v>
      </c>
      <c r="B3" s="3277"/>
      <c r="C3" s="3277"/>
      <c r="D3" s="3277"/>
      <c r="E3" s="3277"/>
      <c r="F3" s="3277"/>
      <c r="G3" s="3277"/>
      <c r="H3" s="3277"/>
      <c r="I3" s="3277"/>
    </row>
    <row r="4" spans="1:12" ht="14.4">
      <c r="A4" s="2407" t="s">
        <v>2105</v>
      </c>
      <c r="B4" s="2408" t="s">
        <v>2106</v>
      </c>
      <c r="C4" s="2409" t="s">
        <v>4522</v>
      </c>
      <c r="D4" s="2409" t="s">
        <v>4523</v>
      </c>
      <c r="E4" s="3269" t="s">
        <v>2107</v>
      </c>
      <c r="F4" s="3270"/>
      <c r="G4" s="3270"/>
      <c r="H4" s="3270"/>
      <c r="I4" s="3278"/>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3.2">
      <c r="A5" s="3252" t="s">
        <v>2108</v>
      </c>
      <c r="B5" s="3170">
        <v>25</v>
      </c>
      <c r="C5" s="3255"/>
      <c r="D5" s="3275"/>
      <c r="E5" s="138" t="s">
        <v>2109</v>
      </c>
      <c r="F5" s="2411"/>
      <c r="G5" s="2411"/>
      <c r="H5" s="2411"/>
      <c r="I5" s="1825"/>
    </row>
    <row r="6" spans="1:12" ht="13.2">
      <c r="A6" s="3252"/>
      <c r="B6" s="3170"/>
      <c r="C6" s="3256"/>
      <c r="D6" s="3275"/>
      <c r="E6" s="138" t="s">
        <v>2110</v>
      </c>
      <c r="F6" s="2411"/>
      <c r="G6" s="2411"/>
      <c r="H6" s="2411"/>
      <c r="I6" s="1825"/>
    </row>
    <row r="7" spans="1:12" ht="13.2">
      <c r="A7" s="3252"/>
      <c r="B7" s="3170"/>
      <c r="C7" s="3257"/>
      <c r="D7" s="3275"/>
      <c r="E7" s="138" t="s">
        <v>2111</v>
      </c>
      <c r="F7" s="2411"/>
      <c r="G7" s="2411"/>
      <c r="H7" s="2411"/>
      <c r="I7" s="1825"/>
    </row>
    <row r="8" spans="1:12" ht="13.2">
      <c r="A8" s="3252" t="s">
        <v>2112</v>
      </c>
      <c r="B8" s="3170">
        <v>15</v>
      </c>
      <c r="C8" s="3255"/>
      <c r="D8" s="3275"/>
      <c r="E8" s="138" t="s">
        <v>2113</v>
      </c>
      <c r="F8" s="2411"/>
      <c r="G8" s="2411"/>
      <c r="H8" s="2411"/>
      <c r="I8" s="1825"/>
    </row>
    <row r="9" spans="1:12" ht="13.2">
      <c r="A9" s="3252"/>
      <c r="B9" s="3170"/>
      <c r="C9" s="3257"/>
      <c r="D9" s="3275"/>
      <c r="E9" s="138" t="s">
        <v>2114</v>
      </c>
      <c r="F9" s="2411"/>
      <c r="G9" s="2411"/>
      <c r="H9" s="2411"/>
      <c r="I9" s="1825"/>
    </row>
    <row r="10" spans="1:12" ht="13.2">
      <c r="A10" s="3252" t="s">
        <v>2115</v>
      </c>
      <c r="B10" s="3170">
        <v>15</v>
      </c>
      <c r="C10" s="3255"/>
      <c r="D10" s="3275"/>
      <c r="E10" s="138" t="s">
        <v>2116</v>
      </c>
      <c r="F10" s="2411"/>
      <c r="G10" s="2411"/>
      <c r="H10" s="2411"/>
      <c r="I10" s="1825"/>
    </row>
    <row r="11" spans="1:12" ht="13.2">
      <c r="A11" s="3252"/>
      <c r="B11" s="3170"/>
      <c r="C11" s="3257"/>
      <c r="D11" s="3275"/>
      <c r="E11" s="138" t="s">
        <v>2117</v>
      </c>
      <c r="F11" s="2411"/>
      <c r="G11" s="2411"/>
      <c r="H11" s="2411"/>
      <c r="I11" s="1825"/>
    </row>
    <row r="12" spans="1:12" ht="13.2">
      <c r="A12" s="3252" t="s">
        <v>2118</v>
      </c>
      <c r="B12" s="3170">
        <v>15</v>
      </c>
      <c r="C12" s="3255"/>
      <c r="D12" s="3275"/>
      <c r="E12" s="138" t="s">
        <v>2119</v>
      </c>
      <c r="F12" s="2411"/>
      <c r="G12" s="2411"/>
      <c r="H12" s="2411"/>
      <c r="I12" s="1825"/>
    </row>
    <row r="13" spans="1:12" ht="13.2">
      <c r="A13" s="3252"/>
      <c r="B13" s="3170"/>
      <c r="C13" s="3257"/>
      <c r="D13" s="3275"/>
      <c r="E13" s="138" t="s">
        <v>2120</v>
      </c>
      <c r="F13" s="2411"/>
      <c r="G13" s="2411"/>
      <c r="H13" s="2411"/>
      <c r="I13" s="1825"/>
    </row>
    <row r="14" spans="1:12" ht="13.2">
      <c r="A14" s="3252" t="s">
        <v>2121</v>
      </c>
      <c r="B14" s="3170">
        <v>30</v>
      </c>
      <c r="C14" s="3255">
        <v>5</v>
      </c>
      <c r="D14" s="3275">
        <v>5</v>
      </c>
      <c r="E14" s="138" t="s">
        <v>2122</v>
      </c>
      <c r="F14" s="2411"/>
      <c r="G14" s="2411"/>
      <c r="H14" s="2411"/>
      <c r="I14" s="1825"/>
    </row>
    <row r="15" spans="1:12" ht="13.2">
      <c r="A15" s="3252"/>
      <c r="B15" s="3170"/>
      <c r="C15" s="3256"/>
      <c r="D15" s="3275"/>
      <c r="E15" s="138" t="s">
        <v>2123</v>
      </c>
      <c r="F15" s="2411"/>
      <c r="G15" s="2411"/>
      <c r="H15" s="2411"/>
      <c r="I15" s="1825"/>
    </row>
    <row r="16" spans="1:12" ht="13.2">
      <c r="A16" s="3252"/>
      <c r="B16" s="3170"/>
      <c r="C16" s="3257"/>
      <c r="D16" s="3275"/>
      <c r="E16" s="138" t="s">
        <v>2124</v>
      </c>
      <c r="F16" s="2411"/>
      <c r="G16" s="2411"/>
      <c r="H16" s="2411"/>
      <c r="I16" s="1825"/>
    </row>
    <row r="17" spans="1:35" ht="14.4">
      <c r="A17" s="2412" t="s">
        <v>2125</v>
      </c>
      <c r="B17" s="63"/>
      <c r="C17" s="139">
        <f>SUM(C5:C16)</f>
        <v>5</v>
      </c>
      <c r="D17" s="139">
        <f>SUM(D5:D16)</f>
        <v>5</v>
      </c>
      <c r="E17" s="136"/>
      <c r="F17" s="136"/>
      <c r="G17" s="136"/>
      <c r="H17" s="136"/>
      <c r="I17" s="136"/>
      <c r="K17" s="2410"/>
      <c r="L17" s="2413" t="s">
        <v>2126</v>
      </c>
      <c r="M17" s="2413" t="s">
        <v>2127</v>
      </c>
    </row>
    <row r="18" spans="1:35" ht="15" thickBot="1">
      <c r="A18" s="2414" t="s">
        <v>2128</v>
      </c>
      <c r="B18" s="2415"/>
      <c r="C18" s="140">
        <f>ROUND(C17/SUM(C17:D17),2)</f>
        <v>0.5</v>
      </c>
      <c r="D18" s="140">
        <f>1-C18</f>
        <v>0.5</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4.4">
      <c r="A19" s="2416" t="s">
        <v>2130</v>
      </c>
      <c r="B19" s="2417" t="s">
        <v>2131</v>
      </c>
      <c r="C19" s="141">
        <f ca="1">SUMIF(INDIRECT("'"&amp;C4&amp;"'"&amp;"!A:A"),结果表!B19,INDIRECT("'"&amp;C4&amp;"'"&amp;"!B:B"))</f>
        <v>452001</v>
      </c>
      <c r="D19" s="142">
        <f ca="1">SUMIF(INDIRECT("'"&amp;D4&amp;"'"&amp;"!A:A"),结果表!B19,INDIRECT("'"&amp;D4&amp;"'"&amp;"!B:B"))</f>
        <v>333220</v>
      </c>
      <c r="E19" s="2416" t="s">
        <v>2132</v>
      </c>
      <c r="F19" s="2417" t="s">
        <v>2131</v>
      </c>
      <c r="G19" s="143">
        <f ca="1">ROUND(C19*$C$18+D19*$D$18,0)</f>
        <v>392611</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4.4">
      <c r="A20" s="2419"/>
      <c r="B20" s="1243" t="s">
        <v>2135</v>
      </c>
      <c r="C20" s="144">
        <f ca="1">SUMIF(INDIRECT("'"&amp;C4&amp;"'"&amp;"!A:A"),结果表!B20,INDIRECT("'"&amp;C4&amp;"'"&amp;"!B:B"))</f>
        <v>30285</v>
      </c>
      <c r="D20" s="145">
        <f ca="1">SUMIF(INDIRECT("'"&amp;D4&amp;"'"&amp;"!A:A"),结果表!B20,INDIRECT("'"&amp;D4&amp;"'"&amp;"!B:B"))</f>
        <v>22327</v>
      </c>
      <c r="E20" s="2419"/>
      <c r="F20" s="1243" t="s">
        <v>2135</v>
      </c>
      <c r="G20" s="146">
        <f ca="1">ROUND(C20*$C$18+D20*$D$18,0)</f>
        <v>26306</v>
      </c>
      <c r="H20" s="978" t="s">
        <v>2136</v>
      </c>
      <c r="I20" s="136"/>
    </row>
    <row r="21" spans="1:35" ht="15" customHeight="1" thickBot="1">
      <c r="A21" s="997"/>
      <c r="B21" s="2420" t="s">
        <v>2137</v>
      </c>
      <c r="C21" s="787">
        <f ca="1">ROUND(C19*10000/L19,0)</f>
        <v>76197</v>
      </c>
      <c r="D21" s="788">
        <f ca="1">ROUND(D19*10000/L19,0)</f>
        <v>56174</v>
      </c>
      <c r="E21" s="997"/>
      <c r="F21" s="2420" t="s">
        <v>2137</v>
      </c>
      <c r="G21" s="147">
        <f ca="1">ROUND(G19*10000/L19,0)</f>
        <v>66186</v>
      </c>
      <c r="H21" s="2421" t="s">
        <v>2136</v>
      </c>
      <c r="I21" s="136"/>
    </row>
    <row r="22" spans="1:35" ht="15" thickBot="1">
      <c r="A22" s="2266" t="s">
        <v>2138</v>
      </c>
      <c r="B22" s="2422"/>
      <c r="C22" s="2423"/>
      <c r="D22" s="789">
        <f ca="1">IF(C19&lt;D19,D19/C19-1,C19/D19-1)</f>
        <v>0.35646419782726135</v>
      </c>
      <c r="E22" s="136"/>
      <c r="F22" s="136"/>
      <c r="G22" s="136"/>
      <c r="H22" s="136"/>
      <c r="I22" s="136"/>
    </row>
    <row r="23" spans="1:35" ht="13.8" thickBot="1">
      <c r="A23" s="2400"/>
      <c r="B23" s="2400"/>
      <c r="C23" s="2400"/>
      <c r="D23" s="2400"/>
      <c r="E23" s="136"/>
      <c r="F23" s="136"/>
      <c r="G23" s="136"/>
      <c r="H23" s="136"/>
      <c r="I23" s="136"/>
    </row>
    <row r="24" spans="1:35" ht="14.4">
      <c r="A24" s="3246" t="s">
        <v>2139</v>
      </c>
      <c r="B24" s="2417" t="s">
        <v>2131</v>
      </c>
      <c r="C24" s="143">
        <f>IF(B30=0,0,D30)</f>
        <v>0</v>
      </c>
      <c r="D24" s="2424"/>
      <c r="E24" s="136"/>
      <c r="F24" s="136"/>
      <c r="G24" s="136"/>
      <c r="H24" s="136"/>
      <c r="I24" s="136"/>
    </row>
    <row r="25" spans="1:35" ht="14.4">
      <c r="A25" s="3247"/>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3.8">
      <c r="A27" s="2426"/>
      <c r="B27" s="149">
        <v>0</v>
      </c>
      <c r="C27" s="149">
        <v>0</v>
      </c>
      <c r="D27" s="150">
        <f>ROUND(C27*B27/10000,0)</f>
        <v>0</v>
      </c>
      <c r="E27" s="136"/>
      <c r="F27" s="136"/>
      <c r="G27" s="136"/>
      <c r="H27" s="136"/>
      <c r="I27" s="136"/>
    </row>
    <row r="28" spans="1:35" ht="13.8">
      <c r="A28" s="2426"/>
      <c r="B28" s="149"/>
      <c r="C28" s="149"/>
      <c r="D28" s="150"/>
      <c r="E28" s="136"/>
      <c r="F28" s="136"/>
      <c r="G28" s="136"/>
      <c r="H28" s="136"/>
      <c r="I28" s="136"/>
    </row>
    <row r="29" spans="1:35" ht="13.8">
      <c r="A29" s="2426"/>
      <c r="B29" s="149"/>
      <c r="C29" s="149"/>
      <c r="D29" s="150"/>
      <c r="E29" s="136"/>
      <c r="F29" s="136"/>
      <c r="G29" s="136"/>
      <c r="H29" s="136"/>
      <c r="I29" s="136"/>
    </row>
    <row r="30" spans="1:35" ht="14.4">
      <c r="A30" s="149" t="s">
        <v>2144</v>
      </c>
      <c r="B30" s="149"/>
      <c r="C30" s="149"/>
      <c r="D30" s="149"/>
      <c r="E30" s="2899" t="s">
        <v>3016</v>
      </c>
      <c r="F30" s="136"/>
      <c r="G30" s="136"/>
      <c r="H30" s="136"/>
      <c r="I30" s="136"/>
    </row>
    <row r="31" spans="1:35" s="2428" customFormat="1" ht="14.4"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 thickBot="1">
      <c r="A32" s="2429" t="s">
        <v>2145</v>
      </c>
      <c r="B32" s="2430"/>
      <c r="C32" s="151">
        <f ca="1">IF(D32="总价",G19-C24,G20-C25)</f>
        <v>392611</v>
      </c>
      <c r="D32" s="2431" t="s">
        <v>2146</v>
      </c>
      <c r="E32" s="136"/>
      <c r="F32" s="136"/>
      <c r="G32" s="136"/>
      <c r="H32" s="136"/>
      <c r="I32" s="136"/>
    </row>
    <row r="33" spans="1:15" ht="14.4">
      <c r="A33" s="955" t="s">
        <v>2147</v>
      </c>
      <c r="B33" s="2432"/>
      <c r="C33" s="2433" t="s">
        <v>4739</v>
      </c>
      <c r="D33" s="2434" t="s">
        <v>4522</v>
      </c>
      <c r="E33" s="2435" t="s">
        <v>2148</v>
      </c>
      <c r="F33" s="2436" t="str">
        <f>IF(D32="楼面单价","取值（单价）","取值（总价）")</f>
        <v>取值（总价）</v>
      </c>
      <c r="G33" s="136"/>
      <c r="H33" s="136"/>
      <c r="I33" s="136"/>
    </row>
    <row r="34" spans="1:15" ht="14.4">
      <c r="A34" s="2437"/>
      <c r="B34" s="2438" t="s">
        <v>2149</v>
      </c>
      <c r="C34" s="155">
        <f ca="1">IF(C33="自定义",F34,C32-C35)</f>
        <v>360417</v>
      </c>
      <c r="D34" s="1051">
        <f ca="1">IF(C33="自定义",ROUND(C34/C32,3),IF(C33="收益比率",SUMIF(INDIRECT("'"&amp;D33&amp;"'"&amp;"!b:b"),"土地收益比率",INDIRECT("'"&amp;D33&amp;"'"&amp;"!c:c")),SUMIF(INDIRECT("'"&amp;D33&amp;"'"&amp;"!b:b"),"土地成本比率",INDIRECT("'"&amp;D33&amp;"'"&amp;"!c:c"))))</f>
        <v>0.91800000000000004</v>
      </c>
      <c r="E34" s="2439" t="s">
        <v>2150</v>
      </c>
      <c r="F34" s="1730"/>
      <c r="G34" s="136"/>
      <c r="H34" s="136"/>
      <c r="I34" s="136"/>
      <c r="J34" s="793">
        <f>37171/452001</f>
        <v>8.2236543724460792E-2</v>
      </c>
    </row>
    <row r="35" spans="1:15" ht="15" thickBot="1">
      <c r="A35" s="2440"/>
      <c r="B35" s="2441" t="s">
        <v>2151</v>
      </c>
      <c r="C35" s="1437">
        <f ca="1">IF(C33="自定义",F35,ROUND(C32*D35,0))</f>
        <v>32194</v>
      </c>
      <c r="D35" s="1438">
        <f ca="1">IF(C33="自定义",ROUND(C35/C32,3),IF(C33="收益比率",SUMIF(INDIRECT("'"&amp;D33&amp;"'"&amp;"!b:b"),"建筑物收益比率",INDIRECT("'"&amp;D33&amp;"'"&amp;"!c:c")),SUMIF(INDIRECT("'"&amp;D33&amp;"'"&amp;"!b:b"),"建筑物成本比率",INDIRECT("'"&amp;D33&amp;"'"&amp;"!c:c"))))</f>
        <v>8.2000000000000003E-2</v>
      </c>
      <c r="E35" s="2442" t="s">
        <v>2152</v>
      </c>
      <c r="F35" s="161"/>
      <c r="G35" s="136"/>
      <c r="H35" s="136"/>
      <c r="I35" s="136"/>
    </row>
    <row r="36" spans="1:15" ht="15" thickBot="1">
      <c r="A36" s="3264" t="s">
        <v>2153</v>
      </c>
      <c r="B36" s="2443" t="s">
        <v>2154</v>
      </c>
      <c r="C36" s="152"/>
      <c r="D36" s="2444"/>
      <c r="E36" s="2445"/>
      <c r="F36" s="2446"/>
      <c r="G36" s="136"/>
      <c r="H36" s="136"/>
      <c r="I36" s="136"/>
    </row>
    <row r="37" spans="1:15" ht="15" thickBot="1">
      <c r="A37" s="3265"/>
      <c r="B37" s="2252" t="s">
        <v>2155</v>
      </c>
      <c r="C37" s="154"/>
      <c r="D37" s="1388"/>
      <c r="E37" s="1388"/>
      <c r="F37" s="2446"/>
      <c r="G37" s="136"/>
      <c r="H37" s="136"/>
      <c r="I37" s="136"/>
    </row>
    <row r="38" spans="1:15" ht="15" thickBot="1">
      <c r="A38" s="3266"/>
      <c r="B38" s="2447" t="s">
        <v>2156</v>
      </c>
      <c r="C38" s="725"/>
      <c r="D38" s="2448" t="s">
        <v>2157</v>
      </c>
      <c r="E38" s="1388"/>
      <c r="F38" s="2446"/>
      <c r="G38" s="136"/>
      <c r="H38" s="136"/>
      <c r="I38" s="136"/>
    </row>
    <row r="39" spans="1:15" ht="14.4">
      <c r="A39" s="2419" t="s">
        <v>2158</v>
      </c>
      <c r="B39" s="2449" t="s">
        <v>2159</v>
      </c>
      <c r="C39" s="2450" t="s">
        <v>2160</v>
      </c>
      <c r="D39" s="2450" t="s">
        <v>2161</v>
      </c>
      <c r="E39" s="2451" t="s">
        <v>2162</v>
      </c>
      <c r="F39" s="2446"/>
      <c r="G39" s="136"/>
      <c r="H39" s="136"/>
      <c r="I39" s="136"/>
    </row>
    <row r="40" spans="1:15" ht="13.8">
      <c r="A40" s="2452" t="s">
        <v>2163</v>
      </c>
      <c r="B40" s="156"/>
      <c r="C40" s="157"/>
      <c r="D40" s="157"/>
      <c r="E40" s="158"/>
      <c r="F40" s="2446"/>
      <c r="G40" s="136"/>
      <c r="H40" s="136"/>
      <c r="I40" s="136"/>
    </row>
    <row r="41" spans="1:15" ht="13.8">
      <c r="A41" s="2452" t="s">
        <v>2164</v>
      </c>
      <c r="B41" s="156"/>
      <c r="C41" s="157"/>
      <c r="D41" s="157"/>
      <c r="E41" s="158"/>
      <c r="F41" s="2446"/>
      <c r="G41" s="136"/>
      <c r="H41" s="136"/>
      <c r="I41" s="136"/>
    </row>
    <row r="42" spans="1:15" ht="14.4" thickBot="1">
      <c r="A42" s="2453"/>
      <c r="B42" s="159"/>
      <c r="C42" s="160"/>
      <c r="D42" s="160"/>
      <c r="E42" s="161"/>
      <c r="F42" s="2446"/>
      <c r="G42" s="136"/>
      <c r="H42" s="136"/>
      <c r="I42" s="136"/>
    </row>
    <row r="43" spans="1:15" ht="13.2">
      <c r="A43" s="2150"/>
      <c r="B43" s="2150"/>
      <c r="C43" s="2150"/>
      <c r="D43" s="2150"/>
      <c r="E43" s="2150"/>
      <c r="F43" s="2454"/>
      <c r="G43" s="2454"/>
      <c r="H43" s="2454"/>
      <c r="I43" s="2455"/>
    </row>
    <row r="44" spans="1:15" ht="17.399999999999999">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243" t="s">
        <v>2167</v>
      </c>
      <c r="B45" s="3244"/>
      <c r="C45" s="3245"/>
      <c r="D45" s="162">
        <f ca="1">ROUND(H101*F45,0)</f>
        <v>392611</v>
      </c>
      <c r="E45" s="163" t="s">
        <v>2168</v>
      </c>
      <c r="F45" s="164">
        <v>1</v>
      </c>
      <c r="G45" s="165" t="s">
        <v>2169</v>
      </c>
      <c r="H45" s="136"/>
      <c r="I45" s="136"/>
      <c r="J45" s="3303" t="s">
        <v>2170</v>
      </c>
      <c r="K45" s="3303"/>
      <c r="L45" s="3303"/>
      <c r="M45" s="3303"/>
      <c r="N45" s="3303"/>
      <c r="O45" s="3303"/>
    </row>
    <row r="46" spans="1:15" ht="14.25" customHeight="1">
      <c r="A46" s="3240" t="s">
        <v>2171</v>
      </c>
      <c r="B46" s="3241"/>
      <c r="C46" s="3241"/>
      <c r="D46" s="3241"/>
      <c r="E46" s="3241"/>
      <c r="F46" s="3241"/>
      <c r="G46" s="3242"/>
      <c r="H46" s="2462"/>
      <c r="I46" s="166"/>
      <c r="J46" s="1803">
        <v>1</v>
      </c>
      <c r="K46" s="3303" t="s">
        <v>2172</v>
      </c>
      <c r="L46" s="3303"/>
      <c r="M46" s="3323"/>
      <c r="N46" s="3323"/>
      <c r="O46" s="3323"/>
    </row>
    <row r="47" spans="1:15" ht="12" customHeight="1">
      <c r="A47" s="167" t="s">
        <v>2173</v>
      </c>
      <c r="B47" s="168"/>
      <c r="C47" s="169"/>
      <c r="D47" s="170" t="s">
        <v>2174</v>
      </c>
      <c r="E47" s="24" t="s">
        <v>2175</v>
      </c>
      <c r="F47" s="171" t="s">
        <v>2176</v>
      </c>
      <c r="G47" s="172" t="s">
        <v>2177</v>
      </c>
      <c r="H47" s="2462"/>
      <c r="I47" s="166"/>
      <c r="J47" s="1803">
        <v>2</v>
      </c>
      <c r="K47" s="3303" t="s">
        <v>2178</v>
      </c>
      <c r="L47" s="3303"/>
      <c r="M47" s="3324">
        <f>'数据-取费表'!B2</f>
        <v>43878</v>
      </c>
      <c r="N47" s="3324"/>
      <c r="O47" s="3324"/>
    </row>
    <row r="48" spans="1:15" ht="26.4">
      <c r="A48" s="3271" t="s">
        <v>2179</v>
      </c>
      <c r="B48" s="3254"/>
      <c r="C48" s="3254"/>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303" t="s">
        <v>2182</v>
      </c>
      <c r="L48" s="3303"/>
      <c r="M48" s="3325">
        <f ca="1">H101</f>
        <v>392611</v>
      </c>
      <c r="N48" s="3325"/>
      <c r="O48" s="3325"/>
    </row>
    <row r="49" spans="1:35" ht="25.5" customHeight="1">
      <c r="A49" s="174" t="s">
        <v>2183</v>
      </c>
      <c r="B49" s="3239" t="s">
        <v>2184</v>
      </c>
      <c r="C49" s="3239"/>
      <c r="D49" s="175">
        <v>0</v>
      </c>
      <c r="E49" s="23" t="s">
        <v>2185</v>
      </c>
      <c r="F49" s="28" t="s">
        <v>34</v>
      </c>
      <c r="G49" s="3309"/>
      <c r="H49" s="136"/>
      <c r="I49" s="2465"/>
      <c r="J49" s="1803">
        <v>4</v>
      </c>
      <c r="K49" s="3303" t="str">
        <f>IF(项目基本情况!E8="房地产抵押价值","房地产抵押价值","抵押担保权已注销时的房地产抵押价值")</f>
        <v>抵押担保权已注销时的房地产抵押价值</v>
      </c>
      <c r="L49" s="3303"/>
      <c r="M49" s="3325">
        <f ca="1">IF(项目基本情况!E8="房地产抵押价值",H107,H109)</f>
        <v>392611</v>
      </c>
      <c r="N49" s="3325"/>
      <c r="O49" s="3325"/>
    </row>
    <row r="50" spans="1:35" ht="25.5" customHeight="1">
      <c r="A50" s="176"/>
      <c r="B50" s="3239" t="s">
        <v>2186</v>
      </c>
      <c r="C50" s="3239"/>
      <c r="D50" s="177"/>
      <c r="E50" s="31"/>
      <c r="F50" s="178"/>
      <c r="G50" s="3310"/>
      <c r="H50" s="136"/>
      <c r="I50" s="2465"/>
      <c r="J50" s="3303" t="s">
        <v>2187</v>
      </c>
      <c r="K50" s="3303"/>
      <c r="L50" s="3303"/>
      <c r="M50" s="3303"/>
      <c r="N50" s="3303"/>
      <c r="O50" s="3303"/>
    </row>
    <row r="51" spans="1:35" ht="12" customHeight="1">
      <c r="A51" s="179"/>
      <c r="B51" s="3239" t="s">
        <v>2188</v>
      </c>
      <c r="C51" s="3239"/>
      <c r="D51" s="180"/>
      <c r="E51" s="30"/>
      <c r="F51" s="178"/>
      <c r="G51" s="3311"/>
      <c r="H51" s="136"/>
      <c r="I51" s="2465"/>
      <c r="J51" s="2466" t="s">
        <v>2189</v>
      </c>
      <c r="K51" s="3303" t="s">
        <v>2190</v>
      </c>
      <c r="L51" s="3303"/>
      <c r="M51" s="2466" t="s">
        <v>2191</v>
      </c>
      <c r="N51" s="2466" t="s">
        <v>2192</v>
      </c>
      <c r="O51" s="2466" t="s">
        <v>2193</v>
      </c>
    </row>
    <row r="52" spans="1:35" ht="24" customHeight="1">
      <c r="A52" s="181" t="s">
        <v>2194</v>
      </c>
      <c r="B52" s="3239" t="s">
        <v>2195</v>
      </c>
      <c r="C52" s="3239"/>
      <c r="D52" s="180">
        <f ca="1">ROUND(D45*'数据-取费表'!B41/(1+'数据-取费表'!C42),0)</f>
        <v>20565</v>
      </c>
      <c r="E52" s="11" t="s">
        <v>2196</v>
      </c>
      <c r="F52" s="182">
        <f>'数据-取费表'!B41</f>
        <v>5.5000000000000007E-2</v>
      </c>
      <c r="G52" s="2467"/>
      <c r="H52" s="136"/>
      <c r="I52" s="2465"/>
      <c r="J52" s="1803">
        <v>1</v>
      </c>
      <c r="K52" s="3304" t="s">
        <v>2197</v>
      </c>
      <c r="L52" s="3304"/>
      <c r="M52" s="1745">
        <f>D48</f>
        <v>0</v>
      </c>
      <c r="N52" s="1803" t="str">
        <f>E48</f>
        <v>销售额×税（费）率</v>
      </c>
      <c r="O52" s="1746" t="str">
        <f>F48</f>
        <v>免征</v>
      </c>
    </row>
    <row r="53" spans="1:35" ht="12" customHeight="1">
      <c r="A53" s="181" t="s">
        <v>2198</v>
      </c>
      <c r="B53" s="3262" t="s">
        <v>2199</v>
      </c>
      <c r="C53" s="3263"/>
      <c r="D53" s="180">
        <f ca="1">ROUND(D45*'数据-取费表'!B41/(1+'数据-取费表'!C42),0)</f>
        <v>20565</v>
      </c>
      <c r="E53" s="11" t="s">
        <v>2196</v>
      </c>
      <c r="F53" s="182">
        <f>'数据-取费表'!B41</f>
        <v>5.5000000000000007E-2</v>
      </c>
      <c r="G53" s="2467"/>
      <c r="H53" s="136"/>
      <c r="I53" s="2465"/>
      <c r="J53" s="1803">
        <v>2</v>
      </c>
      <c r="K53" s="3304" t="s">
        <v>2200</v>
      </c>
      <c r="L53" s="3304"/>
      <c r="M53" s="1745">
        <f t="shared" ref="M53:O54" ca="1" si="0">D55</f>
        <v>196</v>
      </c>
      <c r="N53" s="1803" t="str">
        <f t="shared" si="0"/>
        <v>销售额×税（费）率</v>
      </c>
      <c r="O53" s="1746">
        <f t="shared" si="0"/>
        <v>5.0000000000000001E-4</v>
      </c>
    </row>
    <row r="54" spans="1:35" ht="12" customHeight="1">
      <c r="A54" s="181" t="s">
        <v>2201</v>
      </c>
      <c r="B54" s="3262" t="s">
        <v>2202</v>
      </c>
      <c r="C54" s="3263"/>
      <c r="D54" s="180">
        <f ca="1">C68</f>
        <v>20565</v>
      </c>
      <c r="E54" s="30" t="s">
        <v>2203</v>
      </c>
      <c r="F54" s="182">
        <f>'数据-取费表'!B41</f>
        <v>5.5000000000000007E-2</v>
      </c>
      <c r="G54" s="2467"/>
      <c r="H54" s="2468"/>
      <c r="I54" s="2465"/>
      <c r="J54" s="1803">
        <v>3</v>
      </c>
      <c r="K54" s="3304" t="s">
        <v>2204</v>
      </c>
      <c r="L54" s="3304"/>
      <c r="M54" s="1745">
        <f t="shared" ca="1" si="0"/>
        <v>222573</v>
      </c>
      <c r="N54" s="1803" t="str">
        <f t="shared" si="0"/>
        <v>增值额×税（费）率</v>
      </c>
      <c r="O54" s="1747" t="str">
        <f t="shared" si="0"/>
        <v>——</v>
      </c>
    </row>
    <row r="55" spans="1:35" ht="24" customHeight="1">
      <c r="A55" s="3253" t="s">
        <v>2205</v>
      </c>
      <c r="B55" s="3254"/>
      <c r="C55" s="3254"/>
      <c r="D55" s="183">
        <f ca="1">IF(H55="个人住宅",0,ROUND(D45*I55,0))</f>
        <v>196</v>
      </c>
      <c r="E55" s="11" t="s">
        <v>2206</v>
      </c>
      <c r="F55" s="182">
        <f>IF(H55="正常",I55,"免征")</f>
        <v>5.0000000000000001E-4</v>
      </c>
      <c r="G55" s="2467"/>
      <c r="H55" s="2464" t="s">
        <v>2207</v>
      </c>
      <c r="I55" s="184">
        <f>'数据-取费表'!B49</f>
        <v>5.0000000000000001E-4</v>
      </c>
      <c r="J55" s="1803" t="str">
        <f>IF(H59="非个人房产","",4)</f>
        <v/>
      </c>
      <c r="K55" s="3304" t="str">
        <f>IF(H59="非个人房产","——","个人所得税")</f>
        <v>——</v>
      </c>
      <c r="L55" s="3304"/>
      <c r="M55" s="1748" t="str">
        <f>D59</f>
        <v>——</v>
      </c>
      <c r="N55" s="1801" t="str">
        <f>E59</f>
        <v>——</v>
      </c>
      <c r="O55" s="1749" t="str">
        <f>F59</f>
        <v>——</v>
      </c>
    </row>
    <row r="56" spans="1:35" ht="25.2">
      <c r="A56" s="3253" t="s">
        <v>2208</v>
      </c>
      <c r="B56" s="3254"/>
      <c r="C56" s="3254"/>
      <c r="D56" s="183">
        <f ca="1">IF(H56="个人住宅",D57,D58)</f>
        <v>222573</v>
      </c>
      <c r="E56" s="11" t="s">
        <v>2209</v>
      </c>
      <c r="F56" s="182" t="str">
        <f>IF(H56="正常",F58,"免征")</f>
        <v>——</v>
      </c>
      <c r="G56" s="2469" t="s">
        <v>2210</v>
      </c>
      <c r="H56" s="2470" t="s">
        <v>2207</v>
      </c>
      <c r="I56" s="2471"/>
      <c r="J56" s="1803" t="str">
        <f>IF(项目基本情况!K6="上海银行",IF(J55="",4,J55+1),"")</f>
        <v/>
      </c>
      <c r="K56" s="3327" t="str">
        <f>IF(项目基本情况!K6="上海银行","其他处置费用","")</f>
        <v/>
      </c>
      <c r="L56" s="3328"/>
      <c r="M56" s="1745" t="str">
        <f>IF(项目基本情况!K6="上海银行",M69,"")</f>
        <v/>
      </c>
      <c r="N56" s="3330" t="str">
        <f>IF(项目基本情况!K6="上海银行","包含处置中涉及的律师、诉讼、拍卖、评估等费用","")</f>
        <v/>
      </c>
      <c r="O56" s="3331"/>
    </row>
    <row r="57" spans="1:35" ht="13.2">
      <c r="A57" s="181" t="s">
        <v>2183</v>
      </c>
      <c r="B57" s="3269" t="s">
        <v>2211</v>
      </c>
      <c r="C57" s="3278"/>
      <c r="D57" s="185">
        <v>0</v>
      </c>
      <c r="E57" s="23" t="s">
        <v>2185</v>
      </c>
      <c r="F57" s="153"/>
      <c r="G57" s="2467"/>
      <c r="H57" s="2471"/>
      <c r="I57" s="2471"/>
      <c r="J57" s="3304">
        <f>IF(AND(J55="",J56=""),4,IF(项目基本情况!K6="上海银行",结果表!J56+1,结果表!J55+1))</f>
        <v>4</v>
      </c>
      <c r="K57" s="3304" t="s">
        <v>2212</v>
      </c>
      <c r="L57" s="2472" t="s">
        <v>2213</v>
      </c>
      <c r="M57" s="1750"/>
      <c r="N57" s="1751">
        <f ca="1">SUMIF(M52:M56,"&lt;9e307")</f>
        <v>222769</v>
      </c>
      <c r="O57" s="2473"/>
      <c r="P57" s="1744">
        <f ca="1">N57/M49</f>
        <v>0.56740386795071962</v>
      </c>
    </row>
    <row r="58" spans="1:35" ht="25.2">
      <c r="A58" s="181" t="s">
        <v>2194</v>
      </c>
      <c r="B58" s="3269" t="s">
        <v>2214</v>
      </c>
      <c r="C58" s="3270"/>
      <c r="D58" s="183">
        <f ca="1">IF(H58="转让取得",C81,C97)</f>
        <v>222573</v>
      </c>
      <c r="E58" s="11" t="s">
        <v>2209</v>
      </c>
      <c r="F58" s="24" t="s">
        <v>34</v>
      </c>
      <c r="G58" s="2467"/>
      <c r="H58" s="2470" t="s">
        <v>2215</v>
      </c>
      <c r="I58" s="2471"/>
      <c r="J58" s="3304"/>
      <c r="K58" s="3304"/>
      <c r="L58" s="2472" t="s">
        <v>2216</v>
      </c>
      <c r="M58" s="1752"/>
      <c r="N58" s="2474" t="str">
        <f ca="1">NUMBERSTRING(INT(N57*10000),2)&amp;"元整"</f>
        <v>贰拾贰亿贰仟柒佰陆拾玖万元整</v>
      </c>
      <c r="O58" s="2475"/>
    </row>
    <row r="59" spans="1:35" ht="24.6" thickBot="1">
      <c r="A59" s="3307" t="s">
        <v>2217</v>
      </c>
      <c r="B59" s="3308"/>
      <c r="C59" s="3308"/>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305">
        <f>J57+1</f>
        <v>5</v>
      </c>
      <c r="K59" s="3304" t="s">
        <v>2219</v>
      </c>
      <c r="L59" s="1803" t="s">
        <v>2213</v>
      </c>
      <c r="M59" s="1753"/>
      <c r="N59" s="1754">
        <f ca="1">M49-N57</f>
        <v>169842</v>
      </c>
      <c r="O59" s="2477"/>
    </row>
    <row r="60" spans="1:35" ht="12" customHeight="1">
      <c r="A60" s="2478"/>
      <c r="B60" s="2400"/>
      <c r="C60" s="2400"/>
      <c r="D60" s="2400"/>
      <c r="E60" s="2151"/>
      <c r="F60" s="2471"/>
      <c r="G60" s="2471"/>
      <c r="H60" s="2479"/>
      <c r="I60" s="136"/>
      <c r="J60" s="3306"/>
      <c r="K60" s="3304"/>
      <c r="L60" s="2472" t="s">
        <v>2216</v>
      </c>
      <c r="M60" s="1752"/>
      <c r="N60" s="2474" t="str">
        <f ca="1">NUMBERSTRING(INT(N59*10000),2)&amp;"元整"</f>
        <v>壹拾陆亿玖仟捌佰肆拾贰万元整</v>
      </c>
      <c r="O60" s="2475"/>
    </row>
    <row r="61" spans="1:35" ht="13.8" thickBot="1">
      <c r="A61" s="3251" t="s">
        <v>2220</v>
      </c>
      <c r="B61" s="3251"/>
      <c r="C61" s="3251"/>
      <c r="D61" s="3251"/>
      <c r="E61" s="3251"/>
      <c r="F61" s="2471"/>
      <c r="G61" s="2471"/>
      <c r="H61" s="2479"/>
      <c r="I61" s="136"/>
      <c r="J61" s="1803">
        <f>J59+1</f>
        <v>6</v>
      </c>
      <c r="K61" s="3304" t="s">
        <v>2221</v>
      </c>
      <c r="L61" s="3304"/>
      <c r="M61" s="1755"/>
      <c r="N61" s="1756">
        <f ca="1">ROUND(N59*10000/'数据-汇总表'!E3,0)</f>
        <v>11380</v>
      </c>
      <c r="O61" s="2480"/>
    </row>
    <row r="62" spans="1:35" ht="13.2">
      <c r="A62" s="3267" t="s">
        <v>2222</v>
      </c>
      <c r="B62" s="3268"/>
      <c r="C62" s="1795"/>
      <c r="D62" s="1795" t="s">
        <v>2223</v>
      </c>
      <c r="E62" s="190" t="s">
        <v>2224</v>
      </c>
      <c r="F62" s="2471"/>
      <c r="G62" s="2471"/>
      <c r="H62" s="2479"/>
      <c r="I62" s="136"/>
    </row>
    <row r="63" spans="1:35" ht="13.2">
      <c r="A63" s="201" t="s">
        <v>775</v>
      </c>
      <c r="B63" s="191" t="s">
        <v>2225</v>
      </c>
      <c r="C63" s="192">
        <f ca="1">ROUND((C64+C65)/(1+'数据-取费表'!C42),0)</f>
        <v>373915</v>
      </c>
      <c r="D63" s="193"/>
      <c r="E63" s="194"/>
      <c r="F63" s="2471"/>
      <c r="G63" s="2471"/>
      <c r="H63" s="2479"/>
      <c r="I63" s="136"/>
      <c r="J63" s="3329" t="s">
        <v>2226</v>
      </c>
      <c r="K63" s="2481" t="s">
        <v>2227</v>
      </c>
      <c r="L63" s="1743">
        <f ca="1">IF(M49&gt;10000,M49*0.5%,IF(AND(M49&gt;1000,M49&lt;=10000),M49*1%,IF(AND(M49&gt;100,M49&lt;=1000),M49*3%,IF(AND(M49&gt;10,M49&lt;=100),M49*5%,M49*8%))))</f>
        <v>1963.0550000000001</v>
      </c>
      <c r="M63" s="24">
        <f ca="1">ROUND(L63,1)</f>
        <v>1963.1</v>
      </c>
      <c r="Z63" s="2405"/>
      <c r="AI63" s="2406"/>
    </row>
    <row r="64" spans="1:35" ht="14.25" customHeight="1">
      <c r="A64" s="195" t="s">
        <v>770</v>
      </c>
      <c r="B64" s="196" t="s">
        <v>2228</v>
      </c>
      <c r="C64" s="197">
        <f ca="1">D45</f>
        <v>392611</v>
      </c>
      <c r="D64" s="198" t="s">
        <v>32</v>
      </c>
      <c r="E64" s="199"/>
      <c r="F64" s="2471"/>
      <c r="G64" s="2471"/>
      <c r="H64" s="2479"/>
      <c r="I64" s="136"/>
      <c r="J64" s="3329"/>
      <c r="K64" s="2481" t="s">
        <v>2229</v>
      </c>
      <c r="L64" s="1743">
        <f ca="1">IF(M49&gt;2000,M49*0.5%,IF(AND(M49&gt;1000,M49&lt;=2000),M49*0.6%,IF(AND(M49&gt;500,M49&lt;=1000),M49*0.7%,IF(AND(M49&gt;200,M49&lt;=500),M49*0.8%,IF(AND(M49&gt;100,M49&lt;=200),M49*0.9%,IF(AND(M49&gt;50,M49&lt;=100),M49*1%,IF(AND(M49&gt;20,M49&lt;=50),M49*1.5%,IF(AND(M49&gt;10,M49&lt;=20),M49*2%,IF(AND(M49&gt;1,M49&lt;=10),M49*2.5%)))))))))</f>
        <v>1963.0550000000001</v>
      </c>
      <c r="M64" s="24">
        <f t="shared" ref="M64:M65" ca="1" si="1">ROUND(L64,1)</f>
        <v>1963.1</v>
      </c>
      <c r="N64" s="136" t="s">
        <v>2230</v>
      </c>
      <c r="Z64" s="2405"/>
      <c r="AI64" s="2406"/>
    </row>
    <row r="65" spans="1:35" ht="14.25" customHeight="1">
      <c r="A65" s="195" t="s">
        <v>771</v>
      </c>
      <c r="B65" s="196" t="s">
        <v>2231</v>
      </c>
      <c r="C65" s="200"/>
      <c r="D65" s="198"/>
      <c r="E65" s="199"/>
      <c r="F65" s="2471"/>
      <c r="G65" s="2471"/>
      <c r="H65" s="2479"/>
      <c r="I65" s="136"/>
      <c r="J65" s="3329"/>
      <c r="K65" s="2481" t="s">
        <v>2232</v>
      </c>
      <c r="L65" s="1743">
        <f ca="1">IF(M49&gt;1000,M49*0.1%,IF(AND(M49&gt;500,M49&lt;=1000),M49*0.5%,IF(AND(M49&gt;50,M49&lt;=500),M49*1%,IF(AND(M49&gt;1,M49&lt;=50),M49*1.5%))))</f>
        <v>392.61099999999999</v>
      </c>
      <c r="M65" s="24">
        <f t="shared" ca="1" si="1"/>
        <v>392.6</v>
      </c>
      <c r="N65" s="136" t="s">
        <v>2230</v>
      </c>
      <c r="Z65" s="2405"/>
      <c r="AI65" s="2406"/>
    </row>
    <row r="66" spans="1:35" ht="14.25" customHeight="1">
      <c r="A66" s="201" t="s">
        <v>772</v>
      </c>
      <c r="B66" s="202" t="s">
        <v>2233</v>
      </c>
      <c r="C66" s="203"/>
      <c r="D66" s="204" t="s">
        <v>32</v>
      </c>
      <c r="E66" s="1767" t="s">
        <v>1366</v>
      </c>
      <c r="F66" s="2471"/>
      <c r="G66" s="2471"/>
      <c r="H66" s="2479"/>
      <c r="I66" s="136"/>
      <c r="J66" s="3329"/>
      <c r="K66" s="2481" t="s">
        <v>2234</v>
      </c>
      <c r="L66" s="1743">
        <f ca="1">M49*0.5%</f>
        <v>1963.0550000000001</v>
      </c>
      <c r="M66" s="24">
        <f ca="1">IF(L66&gt;0.5,0.5,ROUND(L66,0))</f>
        <v>0.5</v>
      </c>
      <c r="N66" s="136" t="s">
        <v>2235</v>
      </c>
      <c r="Z66" s="2405"/>
      <c r="AI66" s="2406"/>
    </row>
    <row r="67" spans="1:35" ht="14.25" customHeight="1">
      <c r="A67" s="201" t="s">
        <v>773</v>
      </c>
      <c r="B67" s="202" t="s">
        <v>2236</v>
      </c>
      <c r="C67" s="205">
        <f ca="1">C63-C66</f>
        <v>373915</v>
      </c>
      <c r="D67" s="198" t="s">
        <v>32</v>
      </c>
      <c r="E67" s="199"/>
      <c r="F67" s="2471"/>
      <c r="G67" s="2471"/>
      <c r="H67" s="2479"/>
      <c r="I67" s="136"/>
      <c r="J67" s="3329"/>
      <c r="K67" s="2481" t="s">
        <v>2237</v>
      </c>
      <c r="L67" s="1743">
        <f ca="1">IF(M49&gt;=10000,(8.25+(M49-10000)*0.01%),IF(AND(M49&gt;=8000,M49&lt;10000),(7.85+(M49-8000)*0.02%),IF(AND(M49&gt;=5000,M49&lt;8000),(6.65+(M49-5000)*0.04%),IF(AND(M49&gt;=2000,M49&lt;5000),(4.25+(PM49-2000)*0.08%),IF(AND(M49&gt;=1000,M49&lt;2000),(2.75+(M49-1000)*0.15%),IF(AND(M49&gt;=100,M49&lt;1000),(0.5+(M49-100)*0.25%),IF(AND(M49&gt;0,M49&lt;100),M49*0.5%)))))))</f>
        <v>46.511099999999999</v>
      </c>
      <c r="M67" s="24">
        <f ca="1">ROUND(L67*0.9,1)</f>
        <v>41.9</v>
      </c>
      <c r="Z67" s="2405"/>
      <c r="AI67" s="2406"/>
    </row>
    <row r="68" spans="1:35" ht="14.25" customHeight="1" thickBot="1">
      <c r="A68" s="206" t="s">
        <v>774</v>
      </c>
      <c r="B68" s="207" t="s">
        <v>2238</v>
      </c>
      <c r="C68" s="208">
        <f ca="1">IF(C67&lt;=0,0,ROUND(C67*D68,0))</f>
        <v>20565</v>
      </c>
      <c r="D68" s="209">
        <f>'数据-取费表'!B41</f>
        <v>5.5000000000000007E-2</v>
      </c>
      <c r="E68" s="210"/>
      <c r="F68" s="2471"/>
      <c r="G68" s="2471"/>
      <c r="H68" s="2479"/>
      <c r="I68" s="136"/>
      <c r="J68" s="3329"/>
      <c r="K68" s="2481" t="s">
        <v>2239</v>
      </c>
      <c r="L68" s="1743">
        <f ca="1">IF(M49&gt;10000,M49*0.5%,IF(AND(M49&gt;5000,M49&lt;=10000),M49*1%,IF(AND(M49&gt;1000,M49&lt;=5000),M49*2%,IF(AND(M49&gt;200,M49&lt;=1000),M49*3%,M49*5%))))</f>
        <v>1963.0550000000001</v>
      </c>
      <c r="M68" s="24">
        <f ca="1">ROUND(L68,1)</f>
        <v>1963.1</v>
      </c>
      <c r="Z68" s="2405"/>
      <c r="AI68" s="2406"/>
    </row>
    <row r="69" spans="1:35" s="2428" customFormat="1" ht="16.5" customHeight="1">
      <c r="A69" s="2482"/>
      <c r="B69" s="2483"/>
      <c r="C69" s="2484"/>
      <c r="D69" s="2485"/>
      <c r="E69" s="2486"/>
      <c r="F69" s="2151"/>
      <c r="G69" s="2151"/>
      <c r="H69" s="2150"/>
      <c r="I69" s="2400"/>
      <c r="J69" s="3329"/>
      <c r="K69" s="2481" t="s">
        <v>2240</v>
      </c>
      <c r="L69" s="2487"/>
      <c r="M69" s="24">
        <f ca="1">ROUND(SUM(M63:M68),0)</f>
        <v>6324</v>
      </c>
      <c r="N69" s="1744">
        <f ca="1">M69/M49</f>
        <v>1.6107546655595488E-2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4.4" thickBot="1">
      <c r="A70" s="3288" t="s">
        <v>2241</v>
      </c>
      <c r="B70" s="3289"/>
      <c r="C70" s="3289"/>
      <c r="D70" s="3289"/>
      <c r="E70" s="3289"/>
      <c r="F70" s="3289"/>
      <c r="G70" s="3289"/>
      <c r="H70" s="3289"/>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3.8">
      <c r="A71" s="3267" t="s">
        <v>2222</v>
      </c>
      <c r="B71" s="3268"/>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1" t="s">
        <v>775</v>
      </c>
      <c r="B72" s="202" t="s">
        <v>2242</v>
      </c>
      <c r="C72" s="205">
        <f ca="1">ROUND(D45/(1+'数据-取费表'!C42),0)</f>
        <v>373915</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3.8">
      <c r="A73" s="201" t="s">
        <v>772</v>
      </c>
      <c r="B73" s="171" t="s">
        <v>2243</v>
      </c>
      <c r="C73" s="205">
        <f ca="1">C74+C78</f>
        <v>1870</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62" t="s">
        <v>2250</v>
      </c>
      <c r="F76" s="3239"/>
      <c r="G76" s="3239"/>
      <c r="H76" s="3287"/>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1870</v>
      </c>
      <c r="D78" s="224">
        <f>'数据-取费表'!B43</f>
        <v>5.000000000000001E-3</v>
      </c>
      <c r="E78" s="3248" t="s">
        <v>2255</v>
      </c>
      <c r="F78" s="3249"/>
      <c r="G78" s="3249"/>
      <c r="H78" s="3258"/>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779</v>
      </c>
      <c r="B79" s="202" t="s">
        <v>2256</v>
      </c>
      <c r="C79" s="205">
        <f ca="1">C72-C73</f>
        <v>372045</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198.95454545454547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7" t="s">
        <v>2258</v>
      </c>
      <c r="C81" s="226">
        <f ca="1">ROUND(IF(C79&lt;=0,0,IF(C80&gt;=200%,C79*60%-C73*35%,IF(C80&gt;=100%,C79*50%-C73*15%,IF(C80&gt;=50%,C79*40%-C73*5%,IF(C80&lt;50%,C79*30%,0))))),0)</f>
        <v>222573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288" t="s">
        <v>2259</v>
      </c>
      <c r="B83" s="3289"/>
      <c r="C83" s="3289"/>
      <c r="D83" s="3289"/>
      <c r="E83" s="3289"/>
      <c r="F83" s="3289"/>
      <c r="G83" s="3289"/>
      <c r="H83" s="3289"/>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267" t="s">
        <v>2222</v>
      </c>
      <c r="B84" s="3268"/>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1" t="s">
        <v>775</v>
      </c>
      <c r="B85" s="202" t="s">
        <v>2242</v>
      </c>
      <c r="C85" s="205">
        <f ca="1">ROUND(D45/(1+'数据-取费表'!C42),0)</f>
        <v>373915</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1" t="s">
        <v>772</v>
      </c>
      <c r="B86" s="171" t="s">
        <v>2243</v>
      </c>
      <c r="C86" s="205">
        <f ca="1">IF(H88="仅含出让金",C87+C90+C91+C92+C93+C94,C87+C91+C92+C93+C94)</f>
        <v>1870</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3.8">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3.8">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48" t="s">
        <v>2268</v>
      </c>
      <c r="F91" s="3249"/>
      <c r="G91" s="3249"/>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48" t="s">
        <v>2272</v>
      </c>
      <c r="F92" s="3249"/>
      <c r="G92" s="3249"/>
      <c r="H92" s="3258"/>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1870</v>
      </c>
      <c r="D93" s="224">
        <f>'数据-取费表'!B43</f>
        <v>5.000000000000001E-3</v>
      </c>
      <c r="E93" s="3248" t="s">
        <v>2255</v>
      </c>
      <c r="F93" s="3249"/>
      <c r="G93" s="3249"/>
      <c r="H93" s="3258"/>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259" t="s">
        <v>2276</v>
      </c>
      <c r="F94" s="3260"/>
      <c r="G94" s="3260"/>
      <c r="H94" s="3261"/>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779</v>
      </c>
      <c r="B95" s="202" t="s">
        <v>2256</v>
      </c>
      <c r="C95" s="205">
        <f ca="1">ROUND(C85-C86,0)</f>
        <v>372045</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198.95454545454547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7" t="s">
        <v>2258</v>
      </c>
      <c r="C97" s="226">
        <f ca="1">ROUND(IF(C95&lt;=0,0,IF(C96&gt;=200%,C95*60%-C86*35%,IF(C96&gt;=100%,C95*50%-C86*15%,IF(C96&gt;=50%,C95*40%-C86*5%,IF(C96&lt;50%,C95*30%,0))))),0)</f>
        <v>222573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33" t="s">
        <v>2278</v>
      </c>
      <c r="B100" s="3234"/>
      <c r="C100" s="3234"/>
      <c r="D100" s="3250"/>
      <c r="E100" s="3234" t="s">
        <v>2279</v>
      </c>
      <c r="F100" s="3234"/>
      <c r="G100" s="3234"/>
      <c r="H100" s="3250"/>
      <c r="I100" s="136"/>
    </row>
    <row r="101" spans="1:35" ht="18.75" customHeight="1">
      <c r="A101" s="3312" t="s">
        <v>2280</v>
      </c>
      <c r="B101" s="3313"/>
      <c r="C101" s="734" t="str">
        <f>C4</f>
        <v>成本法</v>
      </c>
      <c r="D101" s="735" t="str">
        <f>D4</f>
        <v>假设开发法</v>
      </c>
      <c r="E101" s="3326" t="s">
        <v>2281</v>
      </c>
      <c r="F101" s="3280"/>
      <c r="G101" s="2502" t="s">
        <v>2282</v>
      </c>
      <c r="H101" s="1042">
        <f ca="1">H118</f>
        <v>392611</v>
      </c>
      <c r="I101" s="136"/>
    </row>
    <row r="102" spans="1:35" ht="18.75" customHeight="1">
      <c r="A102" s="3282" t="s">
        <v>2283</v>
      </c>
      <c r="B102" s="2502" t="s">
        <v>2282</v>
      </c>
      <c r="C102" s="734">
        <f ca="1">C19</f>
        <v>452001</v>
      </c>
      <c r="D102" s="735">
        <f ca="1">D19</f>
        <v>333220</v>
      </c>
      <c r="E102" s="3326"/>
      <c r="F102" s="3280"/>
      <c r="G102" s="2502" t="s">
        <v>2284</v>
      </c>
      <c r="H102" s="369">
        <f ca="1">I118</f>
        <v>26306</v>
      </c>
      <c r="I102" s="136"/>
    </row>
    <row r="103" spans="1:35" ht="42.75" customHeight="1">
      <c r="A103" s="3282"/>
      <c r="B103" s="2502" t="s">
        <v>2284</v>
      </c>
      <c r="C103" s="736">
        <f ca="1">C20</f>
        <v>30285</v>
      </c>
      <c r="D103" s="737">
        <f ca="1">D20</f>
        <v>22327</v>
      </c>
      <c r="E103" s="3321" t="s">
        <v>2285</v>
      </c>
      <c r="F103" s="3322"/>
      <c r="G103" s="2503" t="s">
        <v>2286</v>
      </c>
      <c r="H103" s="1042">
        <f>IF(D36="正常操作",H104+H105+H106,H105+H106)</f>
        <v>0</v>
      </c>
      <c r="I103" s="136"/>
    </row>
    <row r="104" spans="1:35" ht="18.75" customHeight="1">
      <c r="A104" s="3282" t="s">
        <v>2287</v>
      </c>
      <c r="B104" s="2504" t="s">
        <v>2282</v>
      </c>
      <c r="C104" s="738">
        <f ca="1">H118</f>
        <v>392611</v>
      </c>
      <c r="D104" s="739"/>
      <c r="E104" s="2252" t="s">
        <v>2288</v>
      </c>
      <c r="F104" s="2243"/>
      <c r="G104" s="2503" t="s">
        <v>2286</v>
      </c>
      <c r="H104" s="1043">
        <f>IF(D36="同一抵押权人同一抵押物续贷",C36&amp;"（未扣减，详见特别提示）",C36)</f>
        <v>0</v>
      </c>
      <c r="I104" s="136"/>
    </row>
    <row r="105" spans="1:35" ht="18.75" customHeight="1" thickBot="1">
      <c r="A105" s="3283"/>
      <c r="B105" s="2505" t="s">
        <v>2284</v>
      </c>
      <c r="C105" s="740">
        <f ca="1">I118</f>
        <v>26306</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79" t="str">
        <f>IF(项目基本情况!E8="已注销","——","3.房地产抵押价值")</f>
        <v>——</v>
      </c>
      <c r="F107" s="3280"/>
      <c r="G107" s="2502" t="s">
        <v>2282</v>
      </c>
      <c r="H107" s="1042" t="str">
        <f>IF(E107="——","——",H101-H103)</f>
        <v>——</v>
      </c>
      <c r="I107" s="136"/>
    </row>
    <row r="108" spans="1:35" ht="18.75" customHeight="1">
      <c r="A108" s="136"/>
      <c r="B108" s="136"/>
      <c r="C108" s="136"/>
      <c r="D108" s="136"/>
      <c r="E108" s="3279"/>
      <c r="F108" s="3280"/>
      <c r="G108" s="2502" t="s">
        <v>2284</v>
      </c>
      <c r="H108" s="369" t="e">
        <f>ROUND(H107*10000/'数据-汇总表'!E3,0)</f>
        <v>#VALUE!</v>
      </c>
      <c r="I108" s="136"/>
    </row>
    <row r="109" spans="1:35" ht="18.75" customHeight="1">
      <c r="A109" s="136"/>
      <c r="B109" s="136"/>
      <c r="C109" s="136"/>
      <c r="D109" s="136"/>
      <c r="E109" s="3279" t="str">
        <f>IF(项目基本情况!E8="已注销及未注销","4.抵押担保权已注销时的房地产抵押价值",IF(项目基本情况!E8="已注销","3.抵押担保权已注销时的房地产抵押价值","——"))</f>
        <v>3.抵押担保权已注销时的房地产抵押价值</v>
      </c>
      <c r="F109" s="3280"/>
      <c r="G109" s="2502" t="s">
        <v>2282</v>
      </c>
      <c r="H109" s="346">
        <f ca="1">IF(E109="——","——",H101-H105-H106)</f>
        <v>392611</v>
      </c>
      <c r="I109" s="136"/>
    </row>
    <row r="110" spans="1:35" ht="18.75" customHeight="1">
      <c r="A110" s="136"/>
      <c r="B110" s="136"/>
      <c r="C110" s="136"/>
      <c r="D110" s="136"/>
      <c r="E110" s="3279"/>
      <c r="F110" s="3280"/>
      <c r="G110" s="2502" t="s">
        <v>2284</v>
      </c>
      <c r="H110" s="369">
        <f ca="1">IF(H109="——","——",ROUND(H109*10000/'数据-汇总表'!E3,0))</f>
        <v>26306</v>
      </c>
      <c r="I110" s="136"/>
    </row>
    <row r="111" spans="1:35" ht="18.75" customHeight="1">
      <c r="A111" s="136"/>
      <c r="B111" s="136"/>
      <c r="C111" s="136"/>
      <c r="D111" s="136"/>
      <c r="E111" s="3314" t="str">
        <f>IF(项目基本情况!E9="抵押净值",IF(OR(项目基本情况!E8="已注销",项目基本情况!E8="房地产抵押价值"),"4.抵押净值","5.抵押净值"),"——")</f>
        <v>——</v>
      </c>
      <c r="F111" s="3315"/>
      <c r="G111" s="2502" t="s">
        <v>2282</v>
      </c>
      <c r="H111" s="1042" t="str">
        <f>IF(E111="——","——",N59)</f>
        <v>——</v>
      </c>
      <c r="I111" s="136"/>
    </row>
    <row r="112" spans="1:35" ht="18.75" customHeight="1" thickBot="1">
      <c r="A112" s="136"/>
      <c r="B112" s="136"/>
      <c r="C112" s="136"/>
      <c r="D112" s="136"/>
      <c r="E112" s="3316"/>
      <c r="F112" s="3317"/>
      <c r="G112" s="2507" t="s">
        <v>2284</v>
      </c>
      <c r="H112" s="788" t="str">
        <f>IF(E111="——","——",N61)</f>
        <v>——</v>
      </c>
      <c r="I112" s="136"/>
    </row>
    <row r="113" spans="1:11" ht="18.75" customHeight="1">
      <c r="A113" s="136"/>
      <c r="B113" s="136"/>
      <c r="C113" s="136"/>
      <c r="D113" s="136"/>
      <c r="E113" s="3284" t="s">
        <v>2290</v>
      </c>
      <c r="F113" s="3284"/>
      <c r="G113" s="3284"/>
      <c r="H113" s="3284"/>
      <c r="I113" s="136"/>
    </row>
    <row r="114" spans="1:11" ht="3.75" customHeight="1">
      <c r="A114" s="2400"/>
      <c r="B114" s="2400"/>
      <c r="C114" s="2400"/>
      <c r="D114" s="2400"/>
      <c r="E114" s="2478"/>
      <c r="F114" s="2478"/>
      <c r="G114" s="2478"/>
      <c r="H114" s="2478"/>
      <c r="I114" s="2400"/>
    </row>
    <row r="115" spans="1:11" ht="18.75" customHeight="1">
      <c r="A115" s="3297" t="s">
        <v>2292</v>
      </c>
      <c r="B115" s="3298"/>
      <c r="C115" s="3298"/>
      <c r="D115" s="3298"/>
      <c r="E115" s="3298"/>
      <c r="F115" s="3298"/>
      <c r="G115" s="3298"/>
      <c r="H115" s="3298"/>
      <c r="I115" s="3299"/>
    </row>
    <row r="116" spans="1:11" ht="27" customHeight="1">
      <c r="A116" s="3170" t="s">
        <v>2293</v>
      </c>
      <c r="B116" s="3285" t="s">
        <v>2294</v>
      </c>
      <c r="C116" s="3285" t="s">
        <v>2295</v>
      </c>
      <c r="D116" s="3301" t="s">
        <v>2296</v>
      </c>
      <c r="E116" s="3302"/>
      <c r="F116" s="3293" t="s">
        <v>2297</v>
      </c>
      <c r="G116" s="3293"/>
      <c r="H116" s="3170" t="s">
        <v>2298</v>
      </c>
      <c r="I116" s="3170"/>
    </row>
    <row r="117" spans="1:11" ht="18.75" customHeight="1">
      <c r="A117" s="3170"/>
      <c r="B117" s="3286"/>
      <c r="C117" s="3286"/>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f ca="1">ROUND(IF(D32="总价",C34,E118*B118/10000),0)</f>
        <v>360417</v>
      </c>
      <c r="E118" s="1789">
        <f ca="1">ROUND(IF(C33="自定义",IF(D32="楼面单价",C34,D118*10000/B118),I118-G118),0)</f>
        <v>24149</v>
      </c>
      <c r="F118" s="1789">
        <f ca="1">ROUND(IF(D32="总价",C35,G118*B118/10000),0)</f>
        <v>32194</v>
      </c>
      <c r="G118" s="1789">
        <f ca="1">ROUND(IF(D32="楼面单价",C35,F118*10000/B118),0)</f>
        <v>2157</v>
      </c>
      <c r="H118" s="1789">
        <f ca="1">ROUND(IF(D32="总价",C32,I118*B118/10000),0)</f>
        <v>392611</v>
      </c>
      <c r="I118" s="1789">
        <f ca="1">ROUND(IF(D32="楼面单价",C32,H118*10000/B118),0)</f>
        <v>26306</v>
      </c>
    </row>
    <row r="119" spans="1:11" ht="18.75" customHeight="1">
      <c r="A119" s="3170" t="s">
        <v>2302</v>
      </c>
      <c r="B119" s="3170"/>
      <c r="C119" s="3170"/>
      <c r="D119" s="3290" t="str">
        <f ca="1">NUMBERSTRING(INT(D118*10000),2)&amp;"元整"</f>
        <v>叁拾陆亿零肆佰壹拾柒万元整</v>
      </c>
      <c r="E119" s="3292"/>
      <c r="F119" s="3290" t="str">
        <f ca="1">NUMBERSTRING(INT(F118*10000),2)&amp;"元整"</f>
        <v>叁亿贰仟壹佰玖拾肆万元整</v>
      </c>
      <c r="G119" s="3292"/>
      <c r="H119" s="3290" t="str">
        <f ca="1">NUMBERSTRING(INT(H118*10000),2)&amp;"元整"</f>
        <v>叁拾玖亿贰仟陆佰壹拾壹万元整</v>
      </c>
      <c r="I119" s="3292"/>
    </row>
    <row r="120" spans="1:11" ht="18.75" customHeight="1">
      <c r="A120" s="3318" t="str">
        <f>IF(项目基本情况!B9="房地产市场价值","",MID(E103,3,LEN(E103)-2))</f>
        <v>估价师知悉的法定优先受偿款</v>
      </c>
      <c r="B120" s="3319"/>
      <c r="C120" s="3320"/>
      <c r="D120" s="3318">
        <f>H103</f>
        <v>0</v>
      </c>
      <c r="E120" s="3319"/>
      <c r="F120" s="3319"/>
      <c r="G120" s="3319"/>
      <c r="H120" s="3319"/>
      <c r="I120" s="3320"/>
      <c r="K120" s="2405" t="str">
        <f>IF(D120=0,"故，本次评估不存在"&amp;A120,"故，本次评估"&amp;A120&amp;"为人民币"&amp;D120&amp;"万元整。")</f>
        <v>故，本次评估不存在估价师知悉的法定优先受偿款</v>
      </c>
    </row>
    <row r="121" spans="1:11" ht="18.75" customHeight="1">
      <c r="A121" s="3294" t="s">
        <v>2302</v>
      </c>
      <c r="B121" s="3295"/>
      <c r="C121" s="3296"/>
      <c r="D121" s="3290" t="str">
        <f>IF(D120=0,"零元整",NUMBERSTRING(INT(D120*10000),2)&amp;"元整")</f>
        <v>零元整</v>
      </c>
      <c r="E121" s="3291"/>
      <c r="F121" s="3291"/>
      <c r="G121" s="3291"/>
      <c r="H121" s="3291"/>
      <c r="I121" s="3292"/>
    </row>
    <row r="122" spans="1:11" ht="18.75" customHeight="1">
      <c r="A122" s="3281" t="str">
        <f>IF(项目基本情况!B9="房地产市场价值","",MID(E107,3,LEN(E107)-2))</f>
        <v/>
      </c>
      <c r="B122" s="3281"/>
      <c r="C122" s="3281"/>
      <c r="D122" s="3318" t="str">
        <f>H107</f>
        <v>——</v>
      </c>
      <c r="E122" s="3319"/>
      <c r="F122" s="3319"/>
      <c r="G122" s="3319"/>
      <c r="H122" s="3319"/>
      <c r="I122" s="3320"/>
    </row>
    <row r="123" spans="1:11" ht="18.75" customHeight="1">
      <c r="A123" s="3170" t="s">
        <v>2302</v>
      </c>
      <c r="B123" s="3170"/>
      <c r="C123" s="3170"/>
      <c r="D123" s="3290" t="e">
        <f>NUMBERSTRING(INT(D122*10000),2)&amp;"元整"</f>
        <v>#VALUE!</v>
      </c>
      <c r="E123" s="3291"/>
      <c r="F123" s="3291"/>
      <c r="G123" s="3291"/>
      <c r="H123" s="3291"/>
      <c r="I123" s="3292"/>
    </row>
    <row r="124" spans="1:11" ht="18.75" customHeight="1">
      <c r="A124" s="3281" t="str">
        <f>IF(项目基本情况!B9="房地产市场价值","",MID(E109,3,LEN(E109)-2))</f>
        <v>抵押担保权已注销时的房地产抵押价值</v>
      </c>
      <c r="B124" s="3281"/>
      <c r="C124" s="3281"/>
      <c r="D124" s="3318">
        <f ca="1">H109</f>
        <v>392611</v>
      </c>
      <c r="E124" s="3319"/>
      <c r="F124" s="3319"/>
      <c r="G124" s="3319"/>
      <c r="H124" s="3319"/>
      <c r="I124" s="3320"/>
    </row>
    <row r="125" spans="1:11" ht="18.75" customHeight="1">
      <c r="A125" s="3170" t="s">
        <v>2302</v>
      </c>
      <c r="B125" s="3170"/>
      <c r="C125" s="3170"/>
      <c r="D125" s="3290" t="str">
        <f ca="1">NUMBERSTRING(INT(D124*10000),2)&amp;"元整"</f>
        <v>叁拾玖亿贰仟陆佰壹拾壹万元整</v>
      </c>
      <c r="E125" s="3291"/>
      <c r="F125" s="3291"/>
      <c r="G125" s="3291"/>
      <c r="H125" s="3291"/>
      <c r="I125" s="3292"/>
    </row>
    <row r="126" spans="1:11" ht="18.75" customHeight="1">
      <c r="A126" s="3281" t="str">
        <f>IF(项目基本情况!B9="房地产市场价值","",MID(E111,3,LEN(E111)-2))</f>
        <v/>
      </c>
      <c r="B126" s="3281"/>
      <c r="C126" s="3281"/>
      <c r="D126" s="3318" t="str">
        <f>H111</f>
        <v>——</v>
      </c>
      <c r="E126" s="3319"/>
      <c r="F126" s="3319"/>
      <c r="G126" s="3319"/>
      <c r="H126" s="3319"/>
      <c r="I126" s="3320"/>
    </row>
    <row r="127" spans="1:11" ht="18.75" customHeight="1">
      <c r="A127" s="3170" t="s">
        <v>2302</v>
      </c>
      <c r="B127" s="3170"/>
      <c r="C127" s="3170"/>
      <c r="D127" s="3290" t="e">
        <f>NUMBERSTRING(INT(D126*10000),2)&amp;"元整"</f>
        <v>#VALUE!</v>
      </c>
      <c r="E127" s="3291"/>
      <c r="F127" s="3291"/>
      <c r="G127" s="3291"/>
      <c r="H127" s="3291"/>
      <c r="I127" s="3292"/>
    </row>
    <row r="128" spans="1:11" ht="21.75" customHeight="1">
      <c r="A128" s="3300" t="s">
        <v>2303</v>
      </c>
      <c r="B128" s="3300"/>
      <c r="C128" s="3300"/>
      <c r="D128" s="3300"/>
      <c r="E128" s="3300"/>
      <c r="F128" s="3300"/>
      <c r="G128" s="3300"/>
      <c r="H128" s="3300"/>
      <c r="I128" s="3300"/>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0" zoomScaleNormal="80" workbookViewId="0">
      <selection activeCell="E62" sqref="E62"/>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6.2">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4524</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6.4">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6.2">
      <c r="A32" s="294" t="s">
        <v>2373</v>
      </c>
      <c r="B32" s="295"/>
      <c r="C32" s="295"/>
      <c r="D32" s="295"/>
      <c r="E32" s="295"/>
      <c r="F32" s="295"/>
      <c r="G32" s="296"/>
    </row>
    <row r="33" spans="1:8" s="256" customFormat="1" ht="13.5" customHeight="1">
      <c r="A33" s="297" t="s">
        <v>782</v>
      </c>
      <c r="B33" s="252" t="s">
        <v>2374</v>
      </c>
      <c r="C33" s="298">
        <f ca="1">SUM(C34:C38)</f>
        <v>29909</v>
      </c>
      <c r="D33" s="274"/>
      <c r="E33" s="254"/>
      <c r="F33" s="283"/>
      <c r="G33" s="276"/>
    </row>
    <row r="34" spans="1:8"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8" ht="13.5" customHeight="1">
      <c r="A35" s="949" t="s">
        <v>796</v>
      </c>
      <c r="B35" s="257" t="s">
        <v>2377</v>
      </c>
      <c r="C35" s="262">
        <f ca="1">ROUND(C34*F35,0)</f>
        <v>789</v>
      </c>
      <c r="D35" s="262"/>
      <c r="E35" s="262"/>
      <c r="F35" s="301">
        <f>'数据-取费表'!B33</f>
        <v>0.03</v>
      </c>
      <c r="G35" s="261" t="s">
        <v>2378</v>
      </c>
    </row>
    <row r="36" spans="1:8"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8" s="300" customFormat="1" ht="13.5" customHeight="1">
      <c r="A37" s="949" t="s">
        <v>798</v>
      </c>
      <c r="B37" s="257" t="s">
        <v>2381</v>
      </c>
      <c r="C37" s="291">
        <f ca="1">ROUND(E37*D37*F34/10000,0)</f>
        <v>1642</v>
      </c>
      <c r="D37" s="259">
        <f ca="1">D19</f>
        <v>149246.95000000001</v>
      </c>
      <c r="E37" s="291">
        <f>'数据-取费表'!B35</f>
        <v>200</v>
      </c>
      <c r="F37" s="301"/>
      <c r="G37" s="303" t="s">
        <v>2382</v>
      </c>
      <c r="H37" s="300">
        <f>149246.95*200/10000*55%</f>
        <v>1641.7164500000003</v>
      </c>
    </row>
    <row r="38" spans="1:8" ht="13.5" customHeight="1">
      <c r="A38" s="949" t="s">
        <v>799</v>
      </c>
      <c r="B38" s="257" t="s">
        <v>2383</v>
      </c>
      <c r="C38" s="262">
        <f ca="1">ROUND(C34*F38,0)</f>
        <v>394</v>
      </c>
      <c r="D38" s="262"/>
      <c r="E38" s="262"/>
      <c r="F38" s="301">
        <f>'数据-取费表'!B36</f>
        <v>1.4999999999999999E-2</v>
      </c>
      <c r="G38" s="261" t="s">
        <v>2378</v>
      </c>
      <c r="H38" s="293">
        <f>26284+789+800+1642+394</f>
        <v>29909</v>
      </c>
    </row>
    <row r="39" spans="1:8" s="256" customFormat="1" ht="13.5" customHeight="1">
      <c r="A39" s="297" t="s">
        <v>2384</v>
      </c>
      <c r="B39" s="252" t="s">
        <v>2385</v>
      </c>
      <c r="C39" s="274">
        <f ca="1">ROUND(C33*F20,0)</f>
        <v>897</v>
      </c>
      <c r="D39" s="274"/>
      <c r="E39" s="274"/>
      <c r="F39" s="275"/>
      <c r="G39" s="276" t="s">
        <v>2386</v>
      </c>
    </row>
    <row r="40" spans="1:8" s="256" customFormat="1" ht="13.5" customHeight="1">
      <c r="A40" s="297" t="s">
        <v>2387</v>
      </c>
      <c r="B40" s="252" t="s">
        <v>2388</v>
      </c>
      <c r="C40" s="1722">
        <f>F21</f>
        <v>0.03</v>
      </c>
      <c r="D40" s="278" t="s">
        <v>2389</v>
      </c>
      <c r="E40" s="274"/>
      <c r="F40" s="275"/>
      <c r="G40" s="276" t="s">
        <v>2390</v>
      </c>
    </row>
    <row r="41" spans="1:8"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8" ht="13.5" customHeight="1">
      <c r="A42" s="949" t="s">
        <v>791</v>
      </c>
      <c r="B42" s="257" t="s">
        <v>2393</v>
      </c>
      <c r="C42" s="280">
        <f ca="1">ROUND(IF('数据-取费表'!B22&lt;=1,C33*F22*'数据-取费表'!B21/2,C33*(POWER((1+F22),'数据-取费表'!B21/2)-1)),0)</f>
        <v>702</v>
      </c>
      <c r="D42" s="280"/>
      <c r="E42" s="280"/>
      <c r="F42" s="281"/>
      <c r="G42" s="3332" t="s">
        <v>2394</v>
      </c>
    </row>
    <row r="43" spans="1:8" ht="13.5" customHeight="1">
      <c r="A43" s="949" t="s">
        <v>792</v>
      </c>
      <c r="B43" s="257" t="s">
        <v>2395</v>
      </c>
      <c r="C43" s="280">
        <f ca="1">ROUND(IF('数据-取费表'!B22&lt;=1,C39*F22*'数据-取费表'!B21/2,C39*(POWER((1+F22),'数据-取费表'!B21/2)-1)),0)</f>
        <v>21</v>
      </c>
      <c r="D43" s="280"/>
      <c r="E43" s="280"/>
      <c r="F43" s="281"/>
      <c r="G43" s="3333"/>
    </row>
    <row r="44" spans="1:8" ht="13.5" customHeight="1">
      <c r="A44" s="949" t="s">
        <v>793</v>
      </c>
      <c r="B44" s="257" t="s">
        <v>2396</v>
      </c>
      <c r="C44" s="280">
        <f ca="1">ROUND(IF('数据-取费表'!B22&lt;=1,C40*F22*'数据-取费表'!B21/2,C40*(POWER((1+F22),'数据-取费表'!B21/2)-1)),4)</f>
        <v>6.9999999999999999E-4</v>
      </c>
      <c r="D44" s="280"/>
      <c r="E44" s="280"/>
      <c r="F44" s="281"/>
      <c r="G44" s="3334"/>
    </row>
    <row r="45" spans="1:8" s="256" customFormat="1" ht="13.5" customHeight="1">
      <c r="A45" s="297" t="s">
        <v>2397</v>
      </c>
      <c r="B45" s="286" t="s">
        <v>2363</v>
      </c>
      <c r="C45" s="287">
        <f ca="1">C46</f>
        <v>2464</v>
      </c>
      <c r="D45" s="277">
        <f ca="1">C47</f>
        <v>2.3999999999999998E-3</v>
      </c>
      <c r="E45" s="278" t="s">
        <v>2389</v>
      </c>
      <c r="F45" s="288"/>
      <c r="G45" s="289" t="s">
        <v>2398</v>
      </c>
    </row>
    <row r="46" spans="1:8" s="256" customFormat="1" ht="13.5" customHeight="1">
      <c r="A46" s="949" t="s">
        <v>791</v>
      </c>
      <c r="B46" s="290" t="s">
        <v>2399</v>
      </c>
      <c r="C46" s="291">
        <f ca="1">ROUND((C33+C39)*F27,0)</f>
        <v>2464</v>
      </c>
      <c r="D46" s="305"/>
      <c r="E46" s="278"/>
      <c r="F46" s="288"/>
      <c r="G46" s="289"/>
    </row>
    <row r="47" spans="1:8" s="256" customFormat="1" ht="13.5" customHeight="1">
      <c r="A47" s="949" t="s">
        <v>792</v>
      </c>
      <c r="B47" s="290" t="s">
        <v>2400</v>
      </c>
      <c r="C47" s="280">
        <f ca="1">ROUND(C40*F27,4)</f>
        <v>2.3999999999999998E-3</v>
      </c>
      <c r="D47" s="305"/>
      <c r="E47" s="278"/>
      <c r="F47" s="288"/>
      <c r="G47" s="289"/>
    </row>
    <row r="48" spans="1:8"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8"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6.2">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6.4">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6.2">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32" t="s">
        <v>2441</v>
      </c>
    </row>
    <row r="43" spans="1:7" ht="13.5" customHeight="1">
      <c r="A43" s="949" t="s">
        <v>792</v>
      </c>
      <c r="B43" s="257" t="s">
        <v>2395</v>
      </c>
      <c r="C43" s="280">
        <f ca="1">ROUND(IF('数据-取费表'!B22&lt;=1,C39*F22*'数据-取费表'!B20/2,C39*(POWER((1+F22),'数据-取费表'!B20/2)-1)),0)</f>
        <v>774881</v>
      </c>
      <c r="D43" s="280"/>
      <c r="E43" s="280"/>
      <c r="F43" s="281"/>
      <c r="G43" s="3333"/>
    </row>
    <row r="44" spans="1:7" ht="13.5" customHeight="1">
      <c r="A44" s="949" t="s">
        <v>793</v>
      </c>
      <c r="B44" s="257" t="s">
        <v>2396</v>
      </c>
      <c r="C44" s="280">
        <f ca="1">ROUND(IF('数据-取费表'!B22&lt;=1,C40*F22*'数据-取费表'!B20/2,C40*(POWER((1+F22),'数据-取费表'!B20/2)-1)),4)</f>
        <v>1.4E-3</v>
      </c>
      <c r="D44" s="280"/>
      <c r="E44" s="280"/>
      <c r="F44" s="281"/>
      <c r="G44" s="3334"/>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8"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70" zoomScaleNormal="70" workbookViewId="0">
      <selection activeCell="A55" sqref="A55:F6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4.4">
      <c r="A4" s="399" t="s">
        <v>2627</v>
      </c>
      <c r="B4" s="400"/>
      <c r="C4" s="3339" t="s">
        <v>2628</v>
      </c>
      <c r="D4" s="3352"/>
      <c r="E4" s="3353" t="s">
        <v>2629</v>
      </c>
      <c r="F4" s="3354"/>
      <c r="G4" s="3339" t="s">
        <v>2630</v>
      </c>
      <c r="H4" s="3352"/>
      <c r="I4" s="3339" t="s">
        <v>2631</v>
      </c>
      <c r="J4" s="3352"/>
      <c r="K4" s="608" t="s">
        <v>2632</v>
      </c>
      <c r="L4" s="1126"/>
      <c r="M4" s="1127"/>
      <c r="N4" s="1127"/>
      <c r="O4" s="1127"/>
      <c r="P4" s="3355" t="s">
        <v>2633</v>
      </c>
      <c r="Q4" s="3356"/>
      <c r="R4" s="3361" t="s">
        <v>2629</v>
      </c>
      <c r="S4" s="3362"/>
      <c r="T4" s="3361" t="s">
        <v>2630</v>
      </c>
      <c r="U4" s="3362"/>
      <c r="V4" s="3348" t="s">
        <v>2631</v>
      </c>
      <c r="W4" s="3348"/>
      <c r="X4" s="1807"/>
      <c r="Y4" s="3361" t="s">
        <v>2633</v>
      </c>
      <c r="Z4" s="3362"/>
      <c r="AA4" s="3349" t="s">
        <v>2629</v>
      </c>
      <c r="AB4" s="3350" t="s">
        <v>2630</v>
      </c>
      <c r="AC4" s="3349" t="s">
        <v>2631</v>
      </c>
    </row>
    <row r="5" spans="1:30">
      <c r="A5" s="402"/>
      <c r="B5" s="403"/>
      <c r="C5" s="3369" t="s">
        <v>2524</v>
      </c>
      <c r="D5" s="3370"/>
      <c r="E5" s="3376" t="str">
        <f>土地案例!A11</f>
        <v>北京市顺义区后沙峪镇马头庄村SY00-0019-6007地块R2二类居住用地</v>
      </c>
      <c r="F5" s="3377"/>
      <c r="G5" s="3369" t="str">
        <f>土地案例!A12</f>
        <v>北京市顺义区后沙峪镇21-18-001e地块R2二类居住用地、21-18-002地块A33基础教育用地</v>
      </c>
      <c r="H5" s="3370"/>
      <c r="I5" s="3369" t="str">
        <f>土地案例!A14</f>
        <v>北京市顺义区后沙峪镇马头庄村SY00-0019-6005地块B1商业用地、SY00-0019-6006地块R2二类居住用地</v>
      </c>
      <c r="J5" s="3370"/>
      <c r="K5" s="608"/>
      <c r="L5" s="1126"/>
      <c r="M5" s="1127"/>
      <c r="N5" s="1127"/>
      <c r="O5" s="1127"/>
      <c r="P5" s="3357"/>
      <c r="Q5" s="3358"/>
      <c r="R5" s="3363"/>
      <c r="S5" s="3364"/>
      <c r="T5" s="3363"/>
      <c r="U5" s="3364"/>
      <c r="V5" s="3348"/>
      <c r="W5" s="3348"/>
      <c r="X5" s="1807"/>
      <c r="Y5" s="3363"/>
      <c r="Z5" s="3364"/>
      <c r="AA5" s="3350"/>
      <c r="AB5" s="3350"/>
      <c r="AC5" s="3350"/>
    </row>
    <row r="6" spans="1:30" ht="15" thickBot="1">
      <c r="A6" s="404"/>
      <c r="B6" s="405"/>
      <c r="C6" s="3367" t="s">
        <v>2528</v>
      </c>
      <c r="D6" s="3368"/>
      <c r="E6" s="3374" t="s">
        <v>2528</v>
      </c>
      <c r="F6" s="3375"/>
      <c r="G6" s="3367" t="s">
        <v>2528</v>
      </c>
      <c r="H6" s="3368"/>
      <c r="I6" s="3367" t="s">
        <v>2528</v>
      </c>
      <c r="J6" s="3368"/>
      <c r="K6" s="608" t="s">
        <v>2529</v>
      </c>
      <c r="L6" s="1126"/>
      <c r="M6" s="1127"/>
      <c r="N6" s="1127"/>
      <c r="O6" s="1127"/>
      <c r="P6" s="3359"/>
      <c r="Q6" s="3360"/>
      <c r="R6" s="3363"/>
      <c r="S6" s="3364"/>
      <c r="T6" s="3365"/>
      <c r="U6" s="3366"/>
      <c r="V6" s="3348"/>
      <c r="W6" s="3348"/>
      <c r="X6" s="1807"/>
      <c r="Y6" s="3365"/>
      <c r="Z6" s="3366"/>
      <c r="AA6" s="3351"/>
      <c r="AB6" s="3351"/>
      <c r="AC6" s="3351"/>
    </row>
    <row r="7" spans="1:30" s="115" customFormat="1" ht="1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71" t="s">
        <v>2531</v>
      </c>
      <c r="Q7" s="3373"/>
      <c r="R7" s="768" t="s">
        <v>17</v>
      </c>
      <c r="S7" s="769">
        <f t="shared" ref="S7:S15" si="0">F7</f>
        <v>94</v>
      </c>
      <c r="T7" s="768" t="s">
        <v>17</v>
      </c>
      <c r="U7" s="769">
        <f t="shared" ref="U7:U15" si="1">H7</f>
        <v>93</v>
      </c>
      <c r="V7" s="768" t="s">
        <v>17</v>
      </c>
      <c r="W7" s="769">
        <f t="shared" ref="W7:W15" si="2">J7</f>
        <v>91</v>
      </c>
      <c r="X7" s="770"/>
      <c r="Y7" s="3371" t="s">
        <v>2531</v>
      </c>
      <c r="Z7" s="3372"/>
      <c r="AA7" s="771">
        <f>D7/F7</f>
        <v>1.0638297872340425</v>
      </c>
      <c r="AB7" s="771">
        <f>D7/H7</f>
        <v>1.075268817204301</v>
      </c>
      <c r="AC7" s="771">
        <f>D7/J7</f>
        <v>1.098901098901099</v>
      </c>
    </row>
    <row r="8" spans="1:30" s="115" customFormat="1" ht="15" thickBot="1">
      <c r="A8" s="406" t="s">
        <v>2532</v>
      </c>
      <c r="B8" s="407"/>
      <c r="C8" s="412" t="s">
        <v>2533</v>
      </c>
      <c r="D8" s="409">
        <v>100</v>
      </c>
      <c r="E8" s="412" t="s">
        <v>4640</v>
      </c>
      <c r="F8" s="411">
        <f>SUMIF(73:73,E8,74:74)-SUMIF(73:73,C8,74:74)+100</f>
        <v>100</v>
      </c>
      <c r="G8" s="412" t="s">
        <v>4640</v>
      </c>
      <c r="H8" s="409">
        <f>SUMIF(73:73,G8,74:74)-SUMIF(73:73,C8,74:74)+100</f>
        <v>100</v>
      </c>
      <c r="I8" s="412" t="s">
        <v>4640</v>
      </c>
      <c r="J8" s="409">
        <f>SUMIF(73:73,I8,74:74)-SUMIF(73:73,C8,74:74)+100</f>
        <v>100</v>
      </c>
      <c r="K8" s="609"/>
      <c r="L8" s="1128"/>
      <c r="M8" s="1129"/>
      <c r="N8" s="1129"/>
      <c r="O8" s="1129"/>
      <c r="P8" s="3371" t="s">
        <v>2534</v>
      </c>
      <c r="Q8" s="3372"/>
      <c r="R8" s="768" t="s">
        <v>17</v>
      </c>
      <c r="S8" s="769">
        <f t="shared" si="0"/>
        <v>100</v>
      </c>
      <c r="T8" s="768" t="s">
        <v>17</v>
      </c>
      <c r="U8" s="769">
        <f t="shared" si="1"/>
        <v>100</v>
      </c>
      <c r="V8" s="768" t="s">
        <v>17</v>
      </c>
      <c r="W8" s="769">
        <f t="shared" si="2"/>
        <v>100</v>
      </c>
      <c r="X8" s="770"/>
      <c r="Y8" s="3371" t="s">
        <v>2534</v>
      </c>
      <c r="Z8" s="3372"/>
      <c r="AA8" s="771">
        <f t="shared" ref="AA8:AA45" si="3">D8/F8</f>
        <v>1</v>
      </c>
      <c r="AB8" s="771">
        <f t="shared" ref="AB8:AB45" si="4">D8/H8</f>
        <v>1</v>
      </c>
      <c r="AC8" s="771">
        <f t="shared" ref="AC8:AC45" si="5">D8/J8</f>
        <v>1</v>
      </c>
    </row>
    <row r="9" spans="1:30" s="115" customFormat="1" ht="27.6">
      <c r="A9" s="413" t="s">
        <v>2535</v>
      </c>
      <c r="B9" s="70" t="s">
        <v>2536</v>
      </c>
      <c r="C9" s="2683" t="s">
        <v>4618</v>
      </c>
      <c r="D9" s="133">
        <v>100</v>
      </c>
      <c r="E9" s="2683" t="s">
        <v>4618</v>
      </c>
      <c r="F9" s="133">
        <f>SUMIF(75:75,E9,76:76)-SUMIF(75:75,C9,76:76)+100</f>
        <v>100</v>
      </c>
      <c r="G9" s="2683" t="s">
        <v>4618</v>
      </c>
      <c r="H9" s="133">
        <f>SUMIF(75:75,G9,76:76)-SUMIF(75:75,C9,76:76)+100</f>
        <v>100</v>
      </c>
      <c r="I9" s="2683" t="s">
        <v>4618</v>
      </c>
      <c r="J9" s="133">
        <f>SUMIF(75:75,I9,76:76)-SUMIF(75:75,C9,76:76)+100</f>
        <v>100</v>
      </c>
      <c r="K9" s="609"/>
      <c r="L9" s="1128"/>
      <c r="M9" s="1129"/>
      <c r="N9" s="1129"/>
      <c r="O9" s="1130"/>
      <c r="P9" s="3342" t="s">
        <v>2537</v>
      </c>
      <c r="Q9" s="1789" t="str">
        <f t="shared" ref="Q9:Q15" si="6">B9</f>
        <v>用途</v>
      </c>
      <c r="R9" s="768" t="s">
        <v>17</v>
      </c>
      <c r="S9" s="769">
        <f t="shared" si="0"/>
        <v>100</v>
      </c>
      <c r="T9" s="768" t="s">
        <v>17</v>
      </c>
      <c r="U9" s="769">
        <f t="shared" si="1"/>
        <v>100</v>
      </c>
      <c r="V9" s="768" t="s">
        <v>17</v>
      </c>
      <c r="W9" s="769">
        <f t="shared" si="2"/>
        <v>100</v>
      </c>
      <c r="X9" s="770"/>
      <c r="Y9" s="3170" t="s">
        <v>2538</v>
      </c>
      <c r="Z9" s="55" t="str">
        <f t="shared" ref="Z9:Z15" si="7">Q9</f>
        <v>用途</v>
      </c>
      <c r="AA9" s="771">
        <f t="shared" si="3"/>
        <v>1</v>
      </c>
      <c r="AB9" s="771">
        <f t="shared" si="4"/>
        <v>1</v>
      </c>
      <c r="AC9" s="771">
        <f t="shared" si="5"/>
        <v>1</v>
      </c>
    </row>
    <row r="10" spans="1:30" s="425" customFormat="1" ht="55.2">
      <c r="A10" s="419"/>
      <c r="B10" s="420" t="s">
        <v>2539</v>
      </c>
      <c r="C10" s="430" t="str">
        <f>项目基本情况!F16</f>
        <v>住宅67.4年、商业37.4年、地下车库及地下仓储47.4年</v>
      </c>
      <c r="D10" s="134">
        <v>100</v>
      </c>
      <c r="E10" s="463" t="s">
        <v>4641</v>
      </c>
      <c r="F10" s="134">
        <f>ROUND(100/'数据-取费表'!G16,0)</f>
        <v>101</v>
      </c>
      <c r="G10" s="463" t="s">
        <v>4641</v>
      </c>
      <c r="H10" s="134">
        <f>ROUND(100/'数据-取费表'!G16,0)</f>
        <v>101</v>
      </c>
      <c r="I10" s="463" t="s">
        <v>4641</v>
      </c>
      <c r="J10" s="134">
        <f>ROUND(100/'数据-取费表'!G16,0)</f>
        <v>101</v>
      </c>
      <c r="K10" s="670"/>
      <c r="L10" s="1131"/>
      <c r="M10" s="1132"/>
      <c r="N10" s="1132"/>
      <c r="O10" s="1133"/>
      <c r="P10" s="3342"/>
      <c r="Q10" s="1789" t="str">
        <f t="shared" si="6"/>
        <v>土地使用年限（年）</v>
      </c>
      <c r="R10" s="768" t="s">
        <v>17</v>
      </c>
      <c r="S10" s="769">
        <f t="shared" si="0"/>
        <v>101</v>
      </c>
      <c r="T10" s="768" t="s">
        <v>17</v>
      </c>
      <c r="U10" s="769">
        <f t="shared" si="1"/>
        <v>101</v>
      </c>
      <c r="V10" s="768" t="s">
        <v>17</v>
      </c>
      <c r="W10" s="769">
        <f t="shared" si="2"/>
        <v>101</v>
      </c>
      <c r="X10" s="770"/>
      <c r="Y10" s="3170"/>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42"/>
      <c r="Q11" s="1789" t="str">
        <f t="shared" si="6"/>
        <v>容积率</v>
      </c>
      <c r="R11" s="768" t="s">
        <v>17</v>
      </c>
      <c r="S11" s="769">
        <f t="shared" si="0"/>
        <v>100</v>
      </c>
      <c r="T11" s="768" t="s">
        <v>17</v>
      </c>
      <c r="U11" s="769">
        <f t="shared" si="1"/>
        <v>100</v>
      </c>
      <c r="V11" s="768" t="s">
        <v>17</v>
      </c>
      <c r="W11" s="769">
        <f t="shared" si="2"/>
        <v>100</v>
      </c>
      <c r="X11" s="770"/>
      <c r="Y11" s="3170"/>
      <c r="Z11" s="55" t="str">
        <f t="shared" si="7"/>
        <v>容积率</v>
      </c>
      <c r="AA11" s="771">
        <f t="shared" si="3"/>
        <v>1</v>
      </c>
      <c r="AB11" s="771">
        <f t="shared" si="4"/>
        <v>1</v>
      </c>
      <c r="AC11" s="771">
        <f t="shared" si="5"/>
        <v>1</v>
      </c>
    </row>
    <row r="12" spans="1:30" s="115" customFormat="1" ht="15">
      <c r="A12" s="429"/>
      <c r="B12" s="2584" t="s">
        <v>2728</v>
      </c>
      <c r="C12" s="3075" t="s">
        <v>4642</v>
      </c>
      <c r="D12" s="431">
        <v>100</v>
      </c>
      <c r="E12" s="3077" t="s">
        <v>4642</v>
      </c>
      <c r="F12" s="134">
        <f>SUMIF(82:82,E12,83:83)-SUMIF(82:82,C12,83:83)+100</f>
        <v>100</v>
      </c>
      <c r="G12" s="3078" t="s">
        <v>4642</v>
      </c>
      <c r="H12" s="134">
        <f>SUMIF(82:82,G12,83:83)-SUMIF(82:82,C12,83:83)+100</f>
        <v>100</v>
      </c>
      <c r="I12" s="3077" t="s">
        <v>4642</v>
      </c>
      <c r="J12" s="134">
        <f>SUMIF(82:82,I12,83:83)-SUMIF(82:82,C12,83:83)+100</f>
        <v>100</v>
      </c>
      <c r="K12" s="670"/>
      <c r="L12" s="1128"/>
      <c r="M12" s="1129"/>
      <c r="N12" s="1129"/>
      <c r="O12" s="1130"/>
      <c r="P12" s="3342"/>
      <c r="Q12" s="1789" t="str">
        <f t="shared" si="6"/>
        <v>配建</v>
      </c>
      <c r="R12" s="768" t="s">
        <v>17</v>
      </c>
      <c r="S12" s="769">
        <f t="shared" si="0"/>
        <v>100</v>
      </c>
      <c r="T12" s="768" t="s">
        <v>17</v>
      </c>
      <c r="U12" s="769">
        <f t="shared" si="1"/>
        <v>100</v>
      </c>
      <c r="V12" s="768" t="s">
        <v>17</v>
      </c>
      <c r="W12" s="769">
        <f t="shared" si="2"/>
        <v>100</v>
      </c>
      <c r="X12" s="770"/>
      <c r="Y12" s="3170"/>
      <c r="Z12" s="55" t="str">
        <f t="shared" si="7"/>
        <v>配建</v>
      </c>
      <c r="AA12" s="771">
        <f>D12/F12</f>
        <v>1</v>
      </c>
      <c r="AB12" s="771">
        <f>D12/H12</f>
        <v>1</v>
      </c>
      <c r="AC12" s="771">
        <f>D12/J12</f>
        <v>1</v>
      </c>
    </row>
    <row r="13" spans="1:30" ht="15.6" thickBot="1">
      <c r="A13" s="426"/>
      <c r="B13" s="3073" t="s">
        <v>4622</v>
      </c>
      <c r="C13" s="3076" t="s">
        <v>4643</v>
      </c>
      <c r="D13" s="433">
        <v>100</v>
      </c>
      <c r="E13" s="3079" t="s">
        <v>4642</v>
      </c>
      <c r="F13" s="134">
        <f>SUMIF(84:84,E13,85:85)-SUMIF(84:84,C13,85:85)+100</f>
        <v>105</v>
      </c>
      <c r="G13" s="3080" t="s">
        <v>4643</v>
      </c>
      <c r="H13" s="433">
        <f>SUMIF(84:84,G13,85:85)-SUMIF(84:84,C13,85:85)+100</f>
        <v>100</v>
      </c>
      <c r="I13" s="3080" t="s">
        <v>4643</v>
      </c>
      <c r="J13" s="433">
        <f>SUMIF(84:84,I13,85:85)-SUMIF(84:84,C13,85:85)+100</f>
        <v>100</v>
      </c>
      <c r="K13" s="670"/>
      <c r="L13" s="1136"/>
      <c r="M13" s="1127"/>
      <c r="N13" s="1127"/>
      <c r="O13" s="1135"/>
      <c r="P13" s="3342"/>
      <c r="Q13" s="1789" t="str">
        <f t="shared" si="6"/>
        <v>自持</v>
      </c>
      <c r="R13" s="768" t="s">
        <v>17</v>
      </c>
      <c r="S13" s="769">
        <f t="shared" si="0"/>
        <v>105</v>
      </c>
      <c r="T13" s="768" t="s">
        <v>17</v>
      </c>
      <c r="U13" s="769">
        <f t="shared" si="1"/>
        <v>100</v>
      </c>
      <c r="V13" s="768" t="s">
        <v>17</v>
      </c>
      <c r="W13" s="769">
        <f t="shared" si="2"/>
        <v>100</v>
      </c>
      <c r="X13" s="770"/>
      <c r="Y13" s="3170"/>
      <c r="Z13" s="55" t="str">
        <f t="shared" si="7"/>
        <v>自持</v>
      </c>
      <c r="AA13" s="771">
        <f>D13/F13</f>
        <v>0.95238095238095233</v>
      </c>
      <c r="AB13" s="771">
        <f>D13/H13</f>
        <v>1</v>
      </c>
      <c r="AC13" s="771">
        <f>D13/J13</f>
        <v>1</v>
      </c>
    </row>
    <row r="14" spans="1:30" ht="15.6"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42"/>
      <c r="Q14" s="1789">
        <f t="shared" si="6"/>
        <v>111</v>
      </c>
      <c r="R14" s="768" t="s">
        <v>17</v>
      </c>
      <c r="S14" s="769">
        <f t="shared" si="0"/>
        <v>100</v>
      </c>
      <c r="T14" s="768" t="s">
        <v>17</v>
      </c>
      <c r="U14" s="769">
        <f t="shared" si="1"/>
        <v>100</v>
      </c>
      <c r="V14" s="768" t="s">
        <v>17</v>
      </c>
      <c r="W14" s="769">
        <f t="shared" si="2"/>
        <v>100</v>
      </c>
      <c r="X14" s="770"/>
      <c r="Y14" s="3170"/>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44" t="s">
        <v>2542</v>
      </c>
      <c r="Q15" s="1804" t="str">
        <f t="shared" si="6"/>
        <v>居住社区成熟度</v>
      </c>
      <c r="R15" s="772" t="s">
        <v>17</v>
      </c>
      <c r="S15" s="773">
        <f t="shared" si="0"/>
        <v>103</v>
      </c>
      <c r="T15" s="772" t="s">
        <v>17</v>
      </c>
      <c r="U15" s="773">
        <f t="shared" si="1"/>
        <v>100</v>
      </c>
      <c r="V15" s="772" t="s">
        <v>17</v>
      </c>
      <c r="W15" s="773">
        <f t="shared" si="2"/>
        <v>103</v>
      </c>
      <c r="X15" s="1807"/>
      <c r="Y15" s="3344" t="s">
        <v>2542</v>
      </c>
      <c r="Z15" s="1808" t="str">
        <f t="shared" si="7"/>
        <v>居住社区成熟度</v>
      </c>
      <c r="AA15" s="1805">
        <f t="shared" si="3"/>
        <v>0.970873786407767</v>
      </c>
      <c r="AB15" s="1805">
        <f t="shared" si="4"/>
        <v>1</v>
      </c>
      <c r="AC15" s="1805">
        <f t="shared" si="5"/>
        <v>0.970873786407767</v>
      </c>
    </row>
    <row r="16" spans="1:30" ht="15">
      <c r="A16" s="426"/>
      <c r="B16" s="444"/>
      <c r="C16" s="445" t="s">
        <v>4649</v>
      </c>
      <c r="D16" s="446"/>
      <c r="E16" s="2589" t="s">
        <v>4646</v>
      </c>
      <c r="F16" s="446"/>
      <c r="G16" s="2589" t="s">
        <v>4649</v>
      </c>
      <c r="H16" s="448"/>
      <c r="I16" s="2589" t="s">
        <v>4646</v>
      </c>
      <c r="J16" s="446"/>
      <c r="K16" s="670"/>
      <c r="L16" s="1136"/>
      <c r="M16" s="1127"/>
      <c r="N16" s="1127"/>
      <c r="O16" s="1135"/>
      <c r="P16" s="3345"/>
      <c r="Q16" s="1804"/>
      <c r="R16" s="772"/>
      <c r="S16" s="773"/>
      <c r="T16" s="772"/>
      <c r="U16" s="773"/>
      <c r="V16" s="772"/>
      <c r="W16" s="773"/>
      <c r="X16" s="1807"/>
      <c r="Y16" s="3345"/>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45"/>
      <c r="Q17" s="1804" t="str">
        <f>B17</f>
        <v>商业繁华度</v>
      </c>
      <c r="R17" s="772" t="s">
        <v>17</v>
      </c>
      <c r="S17" s="773">
        <f>F17</f>
        <v>102</v>
      </c>
      <c r="T17" s="772" t="s">
        <v>17</v>
      </c>
      <c r="U17" s="773">
        <f>H17</f>
        <v>102</v>
      </c>
      <c r="V17" s="772" t="s">
        <v>17</v>
      </c>
      <c r="W17" s="773">
        <f>J17</f>
        <v>102</v>
      </c>
      <c r="X17" s="1807"/>
      <c r="Y17" s="3345"/>
      <c r="Z17" s="1808" t="str">
        <f>Q17</f>
        <v>商业繁华度</v>
      </c>
      <c r="AA17" s="1805">
        <f t="shared" si="3"/>
        <v>0.98039215686274506</v>
      </c>
      <c r="AB17" s="1805">
        <f t="shared" si="4"/>
        <v>0.98039215686274506</v>
      </c>
      <c r="AC17" s="1805">
        <f t="shared" si="5"/>
        <v>0.98039215686274506</v>
      </c>
    </row>
    <row r="18" spans="1:29" ht="15">
      <c r="A18" s="426"/>
      <c r="B18" s="454"/>
      <c r="C18" s="2592" t="s">
        <v>4652</v>
      </c>
      <c r="D18" s="448"/>
      <c r="E18" s="2594" t="s">
        <v>4649</v>
      </c>
      <c r="F18" s="448"/>
      <c r="G18" s="2594" t="s">
        <v>4649</v>
      </c>
      <c r="H18" s="446"/>
      <c r="I18" s="2594" t="s">
        <v>4649</v>
      </c>
      <c r="J18" s="446"/>
      <c r="K18" s="670"/>
      <c r="L18" s="1136"/>
      <c r="M18" s="1127"/>
      <c r="N18" s="1127"/>
      <c r="O18" s="1135"/>
      <c r="P18" s="3345"/>
      <c r="Q18" s="1804"/>
      <c r="R18" s="772"/>
      <c r="S18" s="773"/>
      <c r="T18" s="772"/>
      <c r="U18" s="773"/>
      <c r="V18" s="772"/>
      <c r="W18" s="773"/>
      <c r="X18" s="1807"/>
      <c r="Y18" s="3345"/>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45"/>
      <c r="Q19" s="1804" t="str">
        <f>B19</f>
        <v>办公集聚程度</v>
      </c>
      <c r="R19" s="772" t="s">
        <v>17</v>
      </c>
      <c r="S19" s="773">
        <f>F19</f>
        <v>100</v>
      </c>
      <c r="T19" s="772" t="s">
        <v>17</v>
      </c>
      <c r="U19" s="773">
        <f>H19</f>
        <v>100</v>
      </c>
      <c r="V19" s="772" t="s">
        <v>17</v>
      </c>
      <c r="W19" s="773">
        <f>J19</f>
        <v>100</v>
      </c>
      <c r="X19" s="1807"/>
      <c r="Y19" s="3345"/>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45"/>
      <c r="Q20" s="1804"/>
      <c r="R20" s="772"/>
      <c r="S20" s="773"/>
      <c r="T20" s="772"/>
      <c r="U20" s="773"/>
      <c r="V20" s="772"/>
      <c r="W20" s="773"/>
      <c r="X20" s="1807"/>
      <c r="Y20" s="3345"/>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45"/>
      <c r="Q21" s="1804" t="str">
        <f>B21</f>
        <v>交通便捷度</v>
      </c>
      <c r="R21" s="772" t="s">
        <v>17</v>
      </c>
      <c r="S21" s="773">
        <f>F21</f>
        <v>100</v>
      </c>
      <c r="T21" s="772" t="s">
        <v>17</v>
      </c>
      <c r="U21" s="773">
        <f>H21</f>
        <v>100</v>
      </c>
      <c r="V21" s="772" t="s">
        <v>17</v>
      </c>
      <c r="W21" s="773">
        <f>J21</f>
        <v>100</v>
      </c>
      <c r="X21" s="1807"/>
      <c r="Y21" s="3345"/>
      <c r="Z21" s="1808" t="str">
        <f>Q21</f>
        <v>交通便捷度</v>
      </c>
      <c r="AA21" s="1805">
        <f t="shared" si="3"/>
        <v>1</v>
      </c>
      <c r="AB21" s="1805">
        <f t="shared" si="4"/>
        <v>1</v>
      </c>
      <c r="AC21" s="1805">
        <f t="shared" si="5"/>
        <v>1</v>
      </c>
    </row>
    <row r="22" spans="1:29" ht="15">
      <c r="A22" s="426"/>
      <c r="B22" s="1380"/>
      <c r="C22" s="445" t="s">
        <v>4649</v>
      </c>
      <c r="D22" s="448"/>
      <c r="E22" s="2589" t="s">
        <v>4649</v>
      </c>
      <c r="F22" s="446"/>
      <c r="G22" s="2589" t="s">
        <v>4649</v>
      </c>
      <c r="H22" s="446"/>
      <c r="I22" s="2589" t="s">
        <v>4649</v>
      </c>
      <c r="J22" s="446"/>
      <c r="K22" s="670"/>
      <c r="L22" s="1136"/>
      <c r="M22" s="1127"/>
      <c r="N22" s="1127"/>
      <c r="O22" s="1135"/>
      <c r="P22" s="3345"/>
      <c r="Q22" s="1804"/>
      <c r="R22" s="772"/>
      <c r="S22" s="773"/>
      <c r="T22" s="772"/>
      <c r="U22" s="773"/>
      <c r="V22" s="772"/>
      <c r="W22" s="773"/>
      <c r="X22" s="1807"/>
      <c r="Y22" s="3345"/>
      <c r="Z22" s="1808"/>
      <c r="AA22" s="1805">
        <v>1</v>
      </c>
      <c r="AB22" s="1805">
        <v>1</v>
      </c>
      <c r="AC22" s="1805">
        <v>1</v>
      </c>
    </row>
    <row r="23" spans="1:29" ht="28.8">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45"/>
      <c r="Q23" s="1804" t="str">
        <f t="shared" ref="Q23:Q37" si="8">B23</f>
        <v>区域土地利用方向</v>
      </c>
      <c r="R23" s="772" t="s">
        <v>17</v>
      </c>
      <c r="S23" s="773">
        <f>F23</f>
        <v>100</v>
      </c>
      <c r="T23" s="772" t="s">
        <v>17</v>
      </c>
      <c r="U23" s="773">
        <f>H23</f>
        <v>100</v>
      </c>
      <c r="V23" s="772" t="s">
        <v>17</v>
      </c>
      <c r="W23" s="773">
        <f>J23</f>
        <v>100</v>
      </c>
      <c r="X23" s="1807"/>
      <c r="Y23" s="3345"/>
      <c r="Z23" s="1808" t="str">
        <f>Q23</f>
        <v>区域土地利用方向</v>
      </c>
      <c r="AA23" s="1805">
        <f t="shared" si="3"/>
        <v>1</v>
      </c>
      <c r="AB23" s="1805">
        <f t="shared" si="4"/>
        <v>1</v>
      </c>
      <c r="AC23" s="1805">
        <f t="shared" si="5"/>
        <v>1</v>
      </c>
    </row>
    <row r="24" spans="1:29" ht="15">
      <c r="A24" s="402"/>
      <c r="B24" s="454"/>
      <c r="C24" s="614" t="s">
        <v>4646</v>
      </c>
      <c r="D24" s="446"/>
      <c r="E24" s="2589" t="s">
        <v>4646</v>
      </c>
      <c r="F24" s="446"/>
      <c r="G24" s="2589" t="s">
        <v>4646</v>
      </c>
      <c r="H24" s="446"/>
      <c r="I24" s="2589" t="s">
        <v>4646</v>
      </c>
      <c r="J24" s="446"/>
      <c r="K24" s="810"/>
      <c r="L24" s="1136"/>
      <c r="M24" s="1127"/>
      <c r="N24" s="1127"/>
      <c r="O24" s="1135"/>
      <c r="P24" s="3345"/>
      <c r="Q24" s="1804"/>
      <c r="R24" s="772"/>
      <c r="S24" s="773"/>
      <c r="T24" s="772"/>
      <c r="U24" s="773"/>
      <c r="V24" s="772"/>
      <c r="W24" s="773"/>
      <c r="X24" s="1807"/>
      <c r="Y24" s="3345"/>
      <c r="Z24" s="1808"/>
      <c r="AA24" s="1805"/>
      <c r="AB24" s="1805"/>
      <c r="AC24" s="1805"/>
    </row>
    <row r="25" spans="1:29" ht="28.8">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45"/>
      <c r="Q25" s="1804" t="str">
        <f t="shared" si="8"/>
        <v>自然及人文环境状况</v>
      </c>
      <c r="R25" s="772" t="s">
        <v>17</v>
      </c>
      <c r="S25" s="773">
        <f>F25</f>
        <v>100</v>
      </c>
      <c r="T25" s="772" t="s">
        <v>17</v>
      </c>
      <c r="U25" s="773">
        <f>H25</f>
        <v>100</v>
      </c>
      <c r="V25" s="772" t="s">
        <v>17</v>
      </c>
      <c r="W25" s="773">
        <f>J25</f>
        <v>100</v>
      </c>
      <c r="X25" s="1807"/>
      <c r="Y25" s="3345"/>
      <c r="Z25" s="1808" t="str">
        <f>Q25</f>
        <v>自然及人文环境状况</v>
      </c>
      <c r="AA25" s="1805">
        <f t="shared" si="3"/>
        <v>1</v>
      </c>
      <c r="AB25" s="1805">
        <f t="shared" si="4"/>
        <v>1</v>
      </c>
      <c r="AC25" s="1805">
        <f t="shared" si="5"/>
        <v>1</v>
      </c>
    </row>
    <row r="26" spans="1:29" ht="15">
      <c r="A26" s="402"/>
      <c r="B26" s="454"/>
      <c r="C26" s="445" t="s">
        <v>4649</v>
      </c>
      <c r="D26" s="446"/>
      <c r="E26" s="2595" t="s">
        <v>4649</v>
      </c>
      <c r="F26" s="446"/>
      <c r="G26" s="2595" t="s">
        <v>4649</v>
      </c>
      <c r="H26" s="446"/>
      <c r="I26" s="2595" t="s">
        <v>4649</v>
      </c>
      <c r="J26" s="446"/>
      <c r="K26" s="670"/>
      <c r="L26" s="1136"/>
      <c r="M26" s="1127"/>
      <c r="N26" s="1127"/>
      <c r="O26" s="1135"/>
      <c r="P26" s="3345"/>
      <c r="Q26" s="1804"/>
      <c r="R26" s="772"/>
      <c r="S26" s="773"/>
      <c r="T26" s="772"/>
      <c r="U26" s="773"/>
      <c r="V26" s="772"/>
      <c r="W26" s="773"/>
      <c r="X26" s="1807"/>
      <c r="Y26" s="3345"/>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45"/>
      <c r="Q27" s="1789" t="str">
        <f t="shared" si="8"/>
        <v>公共配套设施</v>
      </c>
      <c r="R27" s="768" t="s">
        <v>17</v>
      </c>
      <c r="S27" s="769">
        <f>F27</f>
        <v>103</v>
      </c>
      <c r="T27" s="768" t="s">
        <v>17</v>
      </c>
      <c r="U27" s="769">
        <f>H27</f>
        <v>103</v>
      </c>
      <c r="V27" s="768" t="s">
        <v>17</v>
      </c>
      <c r="W27" s="769">
        <f>J27</f>
        <v>103</v>
      </c>
      <c r="X27" s="770"/>
      <c r="Y27" s="3345"/>
      <c r="Z27" s="55" t="str">
        <f>Q27</f>
        <v>公共配套设施</v>
      </c>
      <c r="AA27" s="1805">
        <f>D27/F27</f>
        <v>0.970873786407767</v>
      </c>
      <c r="AB27" s="1805">
        <f>D27/H27</f>
        <v>0.970873786407767</v>
      </c>
      <c r="AC27" s="1805">
        <f>D27/J27</f>
        <v>0.970873786407767</v>
      </c>
    </row>
    <row r="28" spans="1:29" s="115" customFormat="1" ht="15">
      <c r="A28" s="647"/>
      <c r="B28" s="454"/>
      <c r="C28" s="2684" t="s">
        <v>4649</v>
      </c>
      <c r="D28" s="446"/>
      <c r="E28" s="2684" t="s">
        <v>4646</v>
      </c>
      <c r="F28" s="446"/>
      <c r="G28" s="2595" t="s">
        <v>4646</v>
      </c>
      <c r="H28" s="446"/>
      <c r="I28" s="2595" t="s">
        <v>4646</v>
      </c>
      <c r="J28" s="446"/>
      <c r="K28" s="670"/>
      <c r="L28" s="1128"/>
      <c r="M28" s="1129"/>
      <c r="N28" s="1129"/>
      <c r="O28" s="1130"/>
      <c r="P28" s="3345"/>
      <c r="Q28" s="1789"/>
      <c r="R28" s="768"/>
      <c r="S28" s="769"/>
      <c r="T28" s="768"/>
      <c r="U28" s="769"/>
      <c r="V28" s="768"/>
      <c r="W28" s="769"/>
      <c r="X28" s="770"/>
      <c r="Y28" s="3345"/>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45"/>
      <c r="Q29" s="1789" t="str">
        <f t="shared" ref="Q29" si="9">B29</f>
        <v>基础设施水平</v>
      </c>
      <c r="R29" s="768" t="s">
        <v>17</v>
      </c>
      <c r="S29" s="769">
        <f>F29</f>
        <v>100</v>
      </c>
      <c r="T29" s="768" t="s">
        <v>17</v>
      </c>
      <c r="U29" s="769">
        <f>H29</f>
        <v>100</v>
      </c>
      <c r="V29" s="768" t="s">
        <v>17</v>
      </c>
      <c r="W29" s="769">
        <f>J29</f>
        <v>100</v>
      </c>
      <c r="X29" s="770"/>
      <c r="Y29" s="3345"/>
      <c r="Z29" s="55" t="str">
        <f>Q29</f>
        <v>基础设施水平</v>
      </c>
      <c r="AA29" s="1805">
        <f>D29/F29</f>
        <v>1</v>
      </c>
      <c r="AB29" s="1805">
        <f>D29/H29</f>
        <v>1</v>
      </c>
      <c r="AC29" s="1805">
        <f>D29/J29</f>
        <v>1</v>
      </c>
    </row>
    <row r="30" spans="1:29" s="115" customFormat="1" ht="15">
      <c r="A30" s="647"/>
      <c r="B30" s="454"/>
      <c r="C30" s="2684" t="s">
        <v>4653</v>
      </c>
      <c r="D30" s="446"/>
      <c r="E30" s="2684" t="s">
        <v>4653</v>
      </c>
      <c r="F30" s="446"/>
      <c r="G30" s="2684" t="s">
        <v>4653</v>
      </c>
      <c r="H30" s="446"/>
      <c r="I30" s="2684" t="s">
        <v>4653</v>
      </c>
      <c r="J30" s="446"/>
      <c r="K30" s="670"/>
      <c r="L30" s="1128"/>
      <c r="M30" s="1129"/>
      <c r="N30" s="1129"/>
      <c r="O30" s="1130"/>
      <c r="P30" s="3345"/>
      <c r="Q30" s="1789"/>
      <c r="R30" s="768"/>
      <c r="S30" s="769"/>
      <c r="T30" s="768"/>
      <c r="U30" s="769"/>
      <c r="V30" s="768"/>
      <c r="W30" s="769"/>
      <c r="X30" s="770"/>
      <c r="Y30" s="3345"/>
      <c r="Z30" s="55"/>
      <c r="AA30" s="1805">
        <v>1</v>
      </c>
      <c r="AB30" s="1805">
        <v>1</v>
      </c>
      <c r="AC30" s="1805">
        <v>1</v>
      </c>
    </row>
    <row r="31" spans="1:29" ht="15.6" thickBot="1">
      <c r="A31" s="426"/>
      <c r="B31" s="454" t="s">
        <v>2638</v>
      </c>
      <c r="C31" s="614" t="s">
        <v>4648</v>
      </c>
      <c r="D31" s="433">
        <v>100</v>
      </c>
      <c r="E31" s="632" t="s">
        <v>4650</v>
      </c>
      <c r="F31" s="433">
        <f>SUMIF(104:104,E31,105:105)-SUMIF(104:104,C31,105:105)+100</f>
        <v>98</v>
      </c>
      <c r="G31" s="632" t="s">
        <v>4650</v>
      </c>
      <c r="H31" s="433">
        <f>SUMIF(104:104,G31,105:105)-SUMIF(104:104,C31,105:105)+100</f>
        <v>98</v>
      </c>
      <c r="I31" s="632" t="s">
        <v>4650</v>
      </c>
      <c r="J31" s="433">
        <f>SUMIF(104:104,I31,105:105)-SUMIF(104:104,C31,105:105)+100</f>
        <v>98</v>
      </c>
      <c r="K31" s="671">
        <v>1</v>
      </c>
      <c r="L31" s="1136"/>
      <c r="M31" s="1127"/>
      <c r="N31" s="1127"/>
      <c r="O31" s="1135"/>
      <c r="P31" s="3345"/>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45"/>
      <c r="Z31" s="1808" t="str">
        <f t="shared" ref="Z31:Z45" si="13">Q31</f>
        <v>临街状况</v>
      </c>
      <c r="AA31" s="1805">
        <f t="shared" si="3"/>
        <v>1.0204081632653061</v>
      </c>
      <c r="AB31" s="1805">
        <f t="shared" si="4"/>
        <v>1.0204081632653061</v>
      </c>
      <c r="AC31" s="1805">
        <f t="shared" si="5"/>
        <v>1.0204081632653061</v>
      </c>
    </row>
    <row r="32" spans="1:29" ht="28.8" hidden="1">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45"/>
      <c r="Q32" s="1804" t="str">
        <f t="shared" si="8"/>
        <v>毗邻道路的类型与等级</v>
      </c>
      <c r="R32" s="772" t="s">
        <v>17</v>
      </c>
      <c r="S32" s="773">
        <f t="shared" si="10"/>
        <v>100</v>
      </c>
      <c r="T32" s="772" t="s">
        <v>17</v>
      </c>
      <c r="U32" s="773">
        <f t="shared" si="11"/>
        <v>100</v>
      </c>
      <c r="V32" s="772" t="s">
        <v>17</v>
      </c>
      <c r="W32" s="773">
        <f t="shared" si="12"/>
        <v>100</v>
      </c>
      <c r="X32" s="1807"/>
      <c r="Y32" s="3345"/>
      <c r="Z32" s="1808" t="str">
        <f t="shared" si="13"/>
        <v>毗邻道路的类型与等级</v>
      </c>
      <c r="AA32" s="1805">
        <f t="shared" si="3"/>
        <v>1</v>
      </c>
      <c r="AB32" s="1805">
        <f t="shared" si="4"/>
        <v>1</v>
      </c>
      <c r="AC32" s="1805">
        <f t="shared" si="5"/>
        <v>1</v>
      </c>
    </row>
    <row r="33" spans="1:29" ht="15.6" hidden="1" thickBot="1">
      <c r="A33" s="426"/>
      <c r="B33" s="454"/>
      <c r="C33" s="445" t="s">
        <v>4651</v>
      </c>
      <c r="D33" s="446"/>
      <c r="E33" s="2595" t="s">
        <v>4651</v>
      </c>
      <c r="F33" s="446"/>
      <c r="G33" s="2595" t="s">
        <v>4651</v>
      </c>
      <c r="H33" s="446"/>
      <c r="I33" s="445" t="s">
        <v>4651</v>
      </c>
      <c r="J33" s="446"/>
      <c r="K33" s="611"/>
      <c r="L33" s="1136"/>
      <c r="M33" s="1127"/>
      <c r="N33" s="1127"/>
      <c r="O33" s="1135"/>
      <c r="P33" s="3345"/>
      <c r="Q33" s="1804"/>
      <c r="R33" s="772"/>
      <c r="S33" s="773"/>
      <c r="T33" s="772"/>
      <c r="U33" s="773"/>
      <c r="V33" s="772"/>
      <c r="W33" s="773"/>
      <c r="X33" s="1807"/>
      <c r="Y33" s="3345"/>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45"/>
      <c r="Q34" s="1804" t="str">
        <f t="shared" si="8"/>
        <v>土地级别</v>
      </c>
      <c r="R34" s="772" t="s">
        <v>17</v>
      </c>
      <c r="S34" s="773">
        <f t="shared" si="10"/>
        <v>100</v>
      </c>
      <c r="T34" s="772" t="s">
        <v>17</v>
      </c>
      <c r="U34" s="773">
        <f t="shared" si="11"/>
        <v>100</v>
      </c>
      <c r="V34" s="772" t="s">
        <v>17</v>
      </c>
      <c r="W34" s="773">
        <f t="shared" si="12"/>
        <v>100</v>
      </c>
      <c r="X34" s="1807"/>
      <c r="Y34" s="3345"/>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45"/>
      <c r="Q35" s="1804">
        <f t="shared" si="8"/>
        <v>111</v>
      </c>
      <c r="R35" s="772" t="s">
        <v>17</v>
      </c>
      <c r="S35" s="773">
        <f t="shared" si="10"/>
        <v>100</v>
      </c>
      <c r="T35" s="772" t="s">
        <v>17</v>
      </c>
      <c r="U35" s="773">
        <f t="shared" si="11"/>
        <v>100</v>
      </c>
      <c r="V35" s="772" t="s">
        <v>17</v>
      </c>
      <c r="W35" s="773">
        <f t="shared" si="12"/>
        <v>100</v>
      </c>
      <c r="X35" s="1807"/>
      <c r="Y35" s="3345"/>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46" t="s">
        <v>2547</v>
      </c>
      <c r="Q36" s="1804">
        <f t="shared" si="8"/>
        <v>111</v>
      </c>
      <c r="R36" s="772" t="s">
        <v>17</v>
      </c>
      <c r="S36" s="773">
        <f t="shared" si="10"/>
        <v>100</v>
      </c>
      <c r="T36" s="772" t="s">
        <v>17</v>
      </c>
      <c r="U36" s="773">
        <f t="shared" si="11"/>
        <v>100</v>
      </c>
      <c r="V36" s="772" t="s">
        <v>17</v>
      </c>
      <c r="W36" s="773">
        <f t="shared" si="12"/>
        <v>100</v>
      </c>
      <c r="X36" s="1807"/>
      <c r="Y36" s="3347" t="s">
        <v>2547</v>
      </c>
      <c r="Z36" s="1808">
        <f t="shared" si="13"/>
        <v>111</v>
      </c>
      <c r="AA36" s="1805">
        <f t="shared" si="3"/>
        <v>1</v>
      </c>
      <c r="AB36" s="1805">
        <f t="shared" si="4"/>
        <v>1</v>
      </c>
      <c r="AC36" s="1805">
        <f t="shared" si="5"/>
        <v>1</v>
      </c>
    </row>
    <row r="37" spans="1:29" s="469" customFormat="1" ht="15.6"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47"/>
      <c r="Q37" s="1804">
        <f t="shared" si="8"/>
        <v>111</v>
      </c>
      <c r="R37" s="775" t="s">
        <v>17</v>
      </c>
      <c r="S37" s="776">
        <f t="shared" si="10"/>
        <v>100</v>
      </c>
      <c r="T37" s="775" t="s">
        <v>17</v>
      </c>
      <c r="U37" s="776">
        <f t="shared" si="11"/>
        <v>100</v>
      </c>
      <c r="V37" s="775" t="s">
        <v>17</v>
      </c>
      <c r="W37" s="776">
        <f t="shared" si="12"/>
        <v>100</v>
      </c>
      <c r="X37" s="777"/>
      <c r="Y37" s="3347"/>
      <c r="Z37" s="778">
        <f t="shared" si="13"/>
        <v>111</v>
      </c>
      <c r="AA37" s="1805">
        <f t="shared" si="3"/>
        <v>1</v>
      </c>
      <c r="AB37" s="1805">
        <f t="shared" si="4"/>
        <v>1</v>
      </c>
      <c r="AC37" s="1805">
        <f t="shared" si="5"/>
        <v>1</v>
      </c>
    </row>
    <row r="38" spans="1:29" ht="15.6">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47"/>
      <c r="Q38" s="1804" t="str">
        <f>B38</f>
        <v>宗地面积</v>
      </c>
      <c r="R38" s="772" t="s">
        <v>17</v>
      </c>
      <c r="S38" s="773">
        <f t="shared" si="10"/>
        <v>98</v>
      </c>
      <c r="T38" s="772" t="s">
        <v>17</v>
      </c>
      <c r="U38" s="773">
        <f t="shared" si="11"/>
        <v>104</v>
      </c>
      <c r="V38" s="772" t="s">
        <v>17</v>
      </c>
      <c r="W38" s="773">
        <f t="shared" si="12"/>
        <v>100</v>
      </c>
      <c r="X38" s="1807"/>
      <c r="Y38" s="3347"/>
      <c r="Z38" s="1808" t="str">
        <f t="shared" si="13"/>
        <v>宗地面积</v>
      </c>
      <c r="AA38" s="1805">
        <f t="shared" si="3"/>
        <v>1.0204081632653061</v>
      </c>
      <c r="AB38" s="1805">
        <f t="shared" si="4"/>
        <v>0.96153846153846156</v>
      </c>
      <c r="AC38" s="1805">
        <f t="shared" si="5"/>
        <v>1</v>
      </c>
    </row>
    <row r="39" spans="1:29" ht="15">
      <c r="A39" s="470"/>
      <c r="B39" s="420" t="s">
        <v>2733</v>
      </c>
      <c r="C39" s="2597" t="s">
        <v>4654</v>
      </c>
      <c r="D39" s="433">
        <v>100</v>
      </c>
      <c r="E39" s="2597" t="s">
        <v>4655</v>
      </c>
      <c r="F39" s="433">
        <f>SUMIF(119:119,E39,120:120)-SUMIF(119:119,C39,120:120)+100</f>
        <v>99</v>
      </c>
      <c r="G39" s="2597" t="s">
        <v>4656</v>
      </c>
      <c r="H39" s="433">
        <f>SUMIF(119:119,G39,120:120)-SUMIF(119:119,C39,120:120)+100</f>
        <v>98</v>
      </c>
      <c r="I39" s="2597" t="s">
        <v>4655</v>
      </c>
      <c r="J39" s="433">
        <f>SUMIF(119:119,I39,120:120)-SUMIF(119:119,C39,120:120)+100</f>
        <v>99</v>
      </c>
      <c r="K39" s="610">
        <v>1</v>
      </c>
      <c r="L39" s="1136"/>
      <c r="M39" s="1127"/>
      <c r="N39" s="1127"/>
      <c r="O39" s="1135"/>
      <c r="P39" s="3347"/>
      <c r="Q39" s="1804" t="str">
        <f t="shared" ref="Q39:Q45" si="14">B39</f>
        <v>宗地形状</v>
      </c>
      <c r="R39" s="772" t="s">
        <v>17</v>
      </c>
      <c r="S39" s="773">
        <f t="shared" si="10"/>
        <v>99</v>
      </c>
      <c r="T39" s="772" t="s">
        <v>17</v>
      </c>
      <c r="U39" s="773">
        <f t="shared" si="11"/>
        <v>98</v>
      </c>
      <c r="V39" s="772" t="s">
        <v>17</v>
      </c>
      <c r="W39" s="773">
        <f t="shared" si="12"/>
        <v>99</v>
      </c>
      <c r="X39" s="1807"/>
      <c r="Y39" s="3347"/>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47"/>
      <c r="Q40" s="1804" t="str">
        <f t="shared" si="14"/>
        <v>临街宽度及深度</v>
      </c>
      <c r="R40" s="772" t="s">
        <v>17</v>
      </c>
      <c r="S40" s="773">
        <f t="shared" si="10"/>
        <v>100</v>
      </c>
      <c r="T40" s="772" t="s">
        <v>17</v>
      </c>
      <c r="U40" s="773">
        <f t="shared" si="11"/>
        <v>100</v>
      </c>
      <c r="V40" s="772" t="s">
        <v>17</v>
      </c>
      <c r="W40" s="773">
        <f t="shared" si="12"/>
        <v>100</v>
      </c>
      <c r="X40" s="1807"/>
      <c r="Y40" s="3347"/>
      <c r="Z40" s="1808" t="str">
        <f t="shared" si="13"/>
        <v>临街宽度及深度</v>
      </c>
      <c r="AA40" s="1805">
        <f t="shared" si="3"/>
        <v>1</v>
      </c>
      <c r="AB40" s="1805">
        <f t="shared" si="4"/>
        <v>1</v>
      </c>
      <c r="AC40" s="1805">
        <f t="shared" si="5"/>
        <v>1</v>
      </c>
    </row>
    <row r="41" spans="1:29" s="115" customFormat="1" ht="15">
      <c r="A41" s="471"/>
      <c r="B41" s="420" t="s">
        <v>2735</v>
      </c>
      <c r="C41" s="2686" t="s">
        <v>4653</v>
      </c>
      <c r="D41" s="134">
        <v>100</v>
      </c>
      <c r="E41" s="2686" t="s">
        <v>4658</v>
      </c>
      <c r="F41" s="433">
        <f>SUMIF(123:123,E41,124:124)-SUMIF(123:123,C41,124:124)+100</f>
        <v>97.5</v>
      </c>
      <c r="G41" s="2686" t="s">
        <v>4659</v>
      </c>
      <c r="H41" s="433">
        <f>SUMIF(123:123,G41,124:124)-SUMIF(123:123,C41,124:124)+100</f>
        <v>99.5</v>
      </c>
      <c r="I41" s="2686" t="s">
        <v>4658</v>
      </c>
      <c r="J41" s="433">
        <f>SUMIF(123:123,I41,124:124)-SUMIF(123:123,C41,124:124)+100</f>
        <v>97.5</v>
      </c>
      <c r="K41" s="610">
        <v>0.5</v>
      </c>
      <c r="L41" s="1128"/>
      <c r="M41" s="1129"/>
      <c r="N41" s="1129"/>
      <c r="O41" s="1130"/>
      <c r="P41" s="3347"/>
      <c r="Q41" s="1804" t="str">
        <f t="shared" si="14"/>
        <v>宗地开发程度</v>
      </c>
      <c r="R41" s="768" t="s">
        <v>17</v>
      </c>
      <c r="S41" s="769">
        <f t="shared" si="10"/>
        <v>97.5</v>
      </c>
      <c r="T41" s="768" t="s">
        <v>17</v>
      </c>
      <c r="U41" s="769">
        <f t="shared" si="11"/>
        <v>99.5</v>
      </c>
      <c r="V41" s="768" t="s">
        <v>17</v>
      </c>
      <c r="W41" s="769">
        <f t="shared" si="12"/>
        <v>97.5</v>
      </c>
      <c r="X41" s="770"/>
      <c r="Y41" s="3347"/>
      <c r="Z41" s="55" t="str">
        <f t="shared" si="13"/>
        <v>宗地开发程度</v>
      </c>
      <c r="AA41" s="771">
        <f t="shared" si="3"/>
        <v>1.0256410256410255</v>
      </c>
      <c r="AB41" s="771">
        <f t="shared" si="4"/>
        <v>1.0050251256281406</v>
      </c>
      <c r="AC41" s="771">
        <f t="shared" si="5"/>
        <v>1.0256410256410255</v>
      </c>
    </row>
    <row r="42" spans="1:29" ht="15.6" thickBot="1">
      <c r="A42" s="470"/>
      <c r="B42" s="420" t="s">
        <v>2736</v>
      </c>
      <c r="C42" s="2597" t="s">
        <v>4660</v>
      </c>
      <c r="D42" s="433">
        <v>100</v>
      </c>
      <c r="E42" s="2597" t="s">
        <v>4660</v>
      </c>
      <c r="F42" s="433">
        <f>SUMIF(125:125,E42,126:126)-SUMIF(125:125,C42,126:126)+100</f>
        <v>100</v>
      </c>
      <c r="G42" s="2597" t="s">
        <v>4660</v>
      </c>
      <c r="H42" s="433">
        <f>SUMIF(125:125,G42,126:126)-SUMIF(125:125,C42,126:126)+100</f>
        <v>100</v>
      </c>
      <c r="I42" s="2597" t="s">
        <v>4660</v>
      </c>
      <c r="J42" s="433">
        <f>SUMIF(125:125,I42,126:126)-SUMIF(125:125,C42,126:126)+100</f>
        <v>100</v>
      </c>
      <c r="K42" s="610">
        <v>2</v>
      </c>
      <c r="L42" s="1136"/>
      <c r="M42" s="1127"/>
      <c r="N42" s="1127"/>
      <c r="O42" s="1135"/>
      <c r="P42" s="3347" t="s">
        <v>2547</v>
      </c>
      <c r="Q42" s="1804" t="str">
        <f t="shared" si="14"/>
        <v>工程地质条件</v>
      </c>
      <c r="R42" s="772" t="s">
        <v>17</v>
      </c>
      <c r="S42" s="773">
        <f t="shared" si="10"/>
        <v>100</v>
      </c>
      <c r="T42" s="772" t="s">
        <v>17</v>
      </c>
      <c r="U42" s="773">
        <f t="shared" si="11"/>
        <v>100</v>
      </c>
      <c r="V42" s="772" t="s">
        <v>17</v>
      </c>
      <c r="W42" s="773">
        <f t="shared" si="12"/>
        <v>100</v>
      </c>
      <c r="X42" s="1807"/>
      <c r="Y42" s="3347"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47"/>
      <c r="Q43" s="1804">
        <f t="shared" si="14"/>
        <v>111</v>
      </c>
      <c r="R43" s="772" t="s">
        <v>17</v>
      </c>
      <c r="S43" s="773">
        <f t="shared" si="10"/>
        <v>100</v>
      </c>
      <c r="T43" s="772" t="s">
        <v>17</v>
      </c>
      <c r="U43" s="773">
        <f t="shared" si="11"/>
        <v>100</v>
      </c>
      <c r="V43" s="772" t="s">
        <v>17</v>
      </c>
      <c r="W43" s="773">
        <f t="shared" si="12"/>
        <v>100</v>
      </c>
      <c r="X43" s="1807"/>
      <c r="Y43" s="3347"/>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47"/>
      <c r="Q44" s="1804">
        <f t="shared" si="14"/>
        <v>111</v>
      </c>
      <c r="R44" s="772" t="s">
        <v>17</v>
      </c>
      <c r="S44" s="773">
        <f t="shared" si="10"/>
        <v>100</v>
      </c>
      <c r="T44" s="772" t="s">
        <v>17</v>
      </c>
      <c r="U44" s="773">
        <f t="shared" si="11"/>
        <v>100</v>
      </c>
      <c r="V44" s="772" t="s">
        <v>17</v>
      </c>
      <c r="W44" s="773">
        <f t="shared" si="12"/>
        <v>100</v>
      </c>
      <c r="X44" s="1807"/>
      <c r="Y44" s="3347"/>
      <c r="Z44" s="1808">
        <f t="shared" si="13"/>
        <v>111</v>
      </c>
      <c r="AA44" s="1805">
        <f t="shared" si="3"/>
        <v>1</v>
      </c>
      <c r="AB44" s="1805">
        <f t="shared" si="4"/>
        <v>1</v>
      </c>
      <c r="AC44" s="1805">
        <f t="shared" si="5"/>
        <v>1</v>
      </c>
    </row>
    <row r="45" spans="1:29" s="469" customFormat="1" ht="15.6"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47"/>
      <c r="Q45" s="1804">
        <f t="shared" si="14"/>
        <v>111</v>
      </c>
      <c r="R45" s="775" t="s">
        <v>17</v>
      </c>
      <c r="S45" s="776">
        <f t="shared" si="10"/>
        <v>100</v>
      </c>
      <c r="T45" s="775" t="s">
        <v>17</v>
      </c>
      <c r="U45" s="776">
        <f t="shared" si="11"/>
        <v>100</v>
      </c>
      <c r="V45" s="775" t="s">
        <v>17</v>
      </c>
      <c r="W45" s="776">
        <f t="shared" si="12"/>
        <v>100</v>
      </c>
      <c r="X45" s="777"/>
      <c r="Y45" s="3347"/>
      <c r="Z45" s="778">
        <f t="shared" si="13"/>
        <v>111</v>
      </c>
      <c r="AA45" s="1805">
        <f t="shared" si="3"/>
        <v>1</v>
      </c>
      <c r="AB45" s="1805">
        <f t="shared" si="4"/>
        <v>1</v>
      </c>
      <c r="AC45" s="1805">
        <f t="shared" si="5"/>
        <v>1</v>
      </c>
    </row>
    <row r="46" spans="1:29" ht="14.4">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42" t="str">
        <f>A46</f>
        <v>成交单价</v>
      </c>
      <c r="Q46" s="3342"/>
      <c r="R46" s="3348">
        <f>E46</f>
        <v>39720</v>
      </c>
      <c r="S46" s="3348"/>
      <c r="T46" s="3348">
        <f>G46</f>
        <v>44981</v>
      </c>
      <c r="U46" s="3348"/>
      <c r="V46" s="3348">
        <f>I46</f>
        <v>41193</v>
      </c>
      <c r="W46" s="3348"/>
      <c r="X46" s="757"/>
      <c r="Y46" s="779"/>
      <c r="Z46" s="757"/>
      <c r="AA46" s="757"/>
      <c r="AB46" s="757"/>
      <c r="AC46" s="757"/>
    </row>
    <row r="47" spans="1:29" ht="1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42" t="str">
        <f>A47</f>
        <v>比较价值（元/平方米）</v>
      </c>
      <c r="Q47" s="3342"/>
      <c r="R47" s="3335">
        <f>ROUND(PRODUCT(R46,AA7:AA45),0)</f>
        <v>39720</v>
      </c>
      <c r="S47" s="3335"/>
      <c r="T47" s="3335">
        <f>ROUND(PRODUCT(T46,AB7:AB45),0)</f>
        <v>45865</v>
      </c>
      <c r="U47" s="3335"/>
      <c r="V47" s="3335">
        <f>ROUND(PRODUCT(V46,AC7:AC45),0)</f>
        <v>43784</v>
      </c>
      <c r="W47" s="3335"/>
      <c r="X47" s="757"/>
      <c r="Y47" s="757"/>
      <c r="Z47" s="757"/>
      <c r="AA47" s="757"/>
      <c r="AB47" s="757"/>
      <c r="AC47" s="757"/>
    </row>
    <row r="48" spans="1:29" ht="15" thickBot="1">
      <c r="A48" s="490" t="s">
        <v>4657</v>
      </c>
      <c r="B48" s="491"/>
      <c r="C48" s="492">
        <f>R48</f>
        <v>43123</v>
      </c>
      <c r="D48" s="492"/>
      <c r="E48" s="492"/>
      <c r="F48" s="492"/>
      <c r="G48" s="492"/>
      <c r="H48" s="492"/>
      <c r="I48" s="492"/>
      <c r="J48" s="492"/>
      <c r="K48" s="783"/>
      <c r="L48" s="1139"/>
      <c r="M48" s="1140"/>
      <c r="N48" s="1140"/>
      <c r="O48" s="1140"/>
      <c r="P48" s="3336" t="str">
        <f>A48</f>
        <v>估价对象住宅用地比较价值（楼面单价，元/平方米）</v>
      </c>
      <c r="Q48" s="3337"/>
      <c r="R48" s="3338">
        <f>ROUND(AVERAGE(R47:V47),0)</f>
        <v>43123</v>
      </c>
      <c r="S48" s="3338"/>
      <c r="T48" s="3338"/>
      <c r="U48" s="3338"/>
      <c r="V48" s="3338"/>
      <c r="W48" s="3338"/>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4.4"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39" t="s">
        <v>2744</v>
      </c>
      <c r="H55" s="3340"/>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41"/>
      <c r="H56" s="3342"/>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43"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43"/>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43"/>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43"/>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4.4"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2.2" thickBot="1">
      <c r="A69" s="761" t="s">
        <v>2656</v>
      </c>
      <c r="B69" s="757"/>
      <c r="C69" s="762"/>
      <c r="D69" s="762"/>
      <c r="E69" s="762"/>
      <c r="F69" s="763"/>
      <c r="G69" s="763"/>
      <c r="H69" s="762"/>
      <c r="I69" s="762"/>
      <c r="J69" s="1155"/>
      <c r="K69" s="1156"/>
      <c r="L69" s="1157"/>
      <c r="M69" s="1155"/>
      <c r="N69" s="1155"/>
      <c r="O69" s="1155"/>
      <c r="P69" s="501"/>
      <c r="Q69" s="502"/>
    </row>
    <row r="70" spans="1:17" s="506" customFormat="1" ht="14.4">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 thickBot="1">
      <c r="A72" s="513" t="s">
        <v>2567</v>
      </c>
      <c r="B72" s="514"/>
      <c r="C72" s="515">
        <v>1</v>
      </c>
      <c r="D72" s="516"/>
      <c r="E72" s="516"/>
      <c r="F72" s="516"/>
      <c r="G72" s="516"/>
      <c r="H72" s="516"/>
      <c r="I72" s="516"/>
      <c r="J72" s="516"/>
      <c r="K72" s="516"/>
      <c r="L72" s="516"/>
      <c r="M72" s="517"/>
      <c r="N72" s="516"/>
      <c r="O72" s="1158"/>
      <c r="P72" s="502"/>
      <c r="Q72" s="502"/>
    </row>
    <row r="73" spans="1:17" s="115" customFormat="1" ht="14.4">
      <c r="A73" s="519" t="s">
        <v>2532</v>
      </c>
      <c r="B73" s="508"/>
      <c r="C73" s="520" t="s">
        <v>2634</v>
      </c>
      <c r="D73" s="521"/>
      <c r="E73" s="521"/>
      <c r="F73" s="521"/>
      <c r="G73" s="521"/>
      <c r="H73" s="521"/>
      <c r="I73" s="521"/>
      <c r="J73" s="521"/>
      <c r="K73" s="521"/>
      <c r="L73" s="522"/>
      <c r="M73" s="523"/>
      <c r="N73" s="1147"/>
      <c r="O73" s="1147"/>
      <c r="P73" s="524"/>
      <c r="Q73" s="502"/>
    </row>
    <row r="74" spans="1:17" s="115" customFormat="1" ht="14.4" thickBot="1">
      <c r="A74" s="519"/>
      <c r="B74" s="508"/>
      <c r="C74" s="637">
        <v>100</v>
      </c>
      <c r="D74" s="510"/>
      <c r="E74" s="510"/>
      <c r="F74" s="510"/>
      <c r="G74" s="510"/>
      <c r="H74" s="510"/>
      <c r="I74" s="510"/>
      <c r="J74" s="510"/>
      <c r="K74" s="510"/>
      <c r="L74" s="510"/>
      <c r="M74" s="512"/>
      <c r="N74" s="1147"/>
      <c r="O74" s="1147"/>
      <c r="P74" s="502"/>
      <c r="Q74" s="502"/>
    </row>
    <row r="75" spans="1:17" ht="28.8">
      <c r="A75" s="525" t="s">
        <v>2570</v>
      </c>
      <c r="B75" s="526" t="s">
        <v>2536</v>
      </c>
      <c r="C75" s="3071" t="s">
        <v>4619</v>
      </c>
      <c r="D75" s="528"/>
      <c r="E75" s="528"/>
      <c r="F75" s="528"/>
      <c r="G75" s="528"/>
      <c r="H75" s="528"/>
      <c r="I75" s="528"/>
      <c r="J75" s="528"/>
      <c r="K75" s="529"/>
      <c r="L75" s="530"/>
      <c r="M75" s="531"/>
      <c r="N75" s="1148"/>
      <c r="O75" s="1148"/>
      <c r="P75" s="45"/>
      <c r="Q75" s="502"/>
    </row>
    <row r="76" spans="1:17" ht="14.4" thickBot="1">
      <c r="A76" s="532"/>
      <c r="B76" s="533"/>
      <c r="C76" s="534">
        <v>100</v>
      </c>
      <c r="D76" s="534"/>
      <c r="E76" s="534"/>
      <c r="F76" s="534"/>
      <c r="G76" s="534"/>
      <c r="H76" s="534"/>
      <c r="I76" s="534"/>
      <c r="J76" s="534"/>
      <c r="K76" s="534"/>
      <c r="L76" s="534"/>
      <c r="M76" s="535"/>
      <c r="N76" s="1149"/>
      <c r="O76" s="1149"/>
      <c r="P76" s="45"/>
      <c r="Q76" s="502"/>
    </row>
    <row r="77" spans="1:17" ht="29.4" thickTop="1">
      <c r="A77" s="532"/>
      <c r="B77" s="536" t="s">
        <v>2539</v>
      </c>
      <c r="C77" s="537"/>
      <c r="D77" s="537"/>
      <c r="E77" s="537"/>
      <c r="F77" s="537"/>
      <c r="G77" s="537"/>
      <c r="H77" s="537"/>
      <c r="I77" s="537"/>
      <c r="J77" s="537"/>
      <c r="K77" s="538"/>
      <c r="L77" s="539"/>
      <c r="M77" s="540"/>
      <c r="N77" s="1148"/>
      <c r="O77" s="1148"/>
      <c r="P77" s="45"/>
      <c r="Q77" s="502"/>
    </row>
    <row r="78" spans="1:17" ht="14.4" thickBot="1">
      <c r="A78" s="532"/>
      <c r="B78" s="541"/>
      <c r="C78" s="542"/>
      <c r="D78" s="542"/>
      <c r="E78" s="542"/>
      <c r="F78" s="542"/>
      <c r="G78" s="542"/>
      <c r="H78" s="542"/>
      <c r="I78" s="542"/>
      <c r="J78" s="542"/>
      <c r="K78" s="542"/>
      <c r="L78" s="542"/>
      <c r="M78" s="543"/>
      <c r="N78" s="1149"/>
      <c r="O78" s="1149"/>
      <c r="P78" s="45"/>
      <c r="Q78" s="502"/>
    </row>
    <row r="79" spans="1:17" ht="1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c r="A80" s="532"/>
      <c r="B80" s="546"/>
      <c r="C80" s="547">
        <v>0</v>
      </c>
      <c r="D80" s="547">
        <v>1</v>
      </c>
      <c r="E80" s="547">
        <v>2</v>
      </c>
      <c r="F80" s="547">
        <v>3</v>
      </c>
      <c r="G80" s="547">
        <v>4</v>
      </c>
      <c r="H80" s="547">
        <v>5</v>
      </c>
      <c r="I80" s="547"/>
      <c r="J80" s="547"/>
      <c r="K80" s="548"/>
      <c r="L80" s="549"/>
      <c r="M80" s="550"/>
      <c r="N80" s="1148"/>
      <c r="O80" s="1148"/>
      <c r="P80" s="45"/>
      <c r="Q80" s="502"/>
    </row>
    <row r="81" spans="1:17" ht="14.4"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 thickTop="1">
      <c r="A82" s="551"/>
      <c r="B82" s="536" t="str">
        <f>B12</f>
        <v>配建</v>
      </c>
      <c r="C82" s="3072" t="s">
        <v>4620</v>
      </c>
      <c r="D82" s="3072" t="s">
        <v>4621</v>
      </c>
      <c r="E82" s="552"/>
      <c r="F82" s="552"/>
      <c r="G82" s="552"/>
      <c r="H82" s="553"/>
      <c r="I82" s="553"/>
      <c r="J82" s="553"/>
      <c r="K82" s="553"/>
      <c r="L82" s="554"/>
      <c r="M82" s="555"/>
      <c r="N82" s="1150"/>
      <c r="O82" s="1150"/>
      <c r="P82" s="556"/>
      <c r="Q82" s="557"/>
    </row>
    <row r="83" spans="1:17" s="469" customFormat="1" ht="14.4" thickBot="1">
      <c r="A83" s="551"/>
      <c r="B83" s="541"/>
      <c r="C83" s="558">
        <v>100</v>
      </c>
      <c r="D83" s="534">
        <v>95</v>
      </c>
      <c r="E83" s="534"/>
      <c r="F83" s="534"/>
      <c r="G83" s="534"/>
      <c r="H83" s="534"/>
      <c r="I83" s="534"/>
      <c r="J83" s="534"/>
      <c r="K83" s="534"/>
      <c r="L83" s="534"/>
      <c r="M83" s="535"/>
      <c r="N83" s="1149"/>
      <c r="O83" s="1149"/>
      <c r="P83" s="556"/>
      <c r="Q83" s="557"/>
    </row>
    <row r="84" spans="1:17" s="469" customFormat="1" ht="15" thickTop="1">
      <c r="A84" s="551"/>
      <c r="B84" s="536" t="str">
        <f>B13</f>
        <v>自持</v>
      </c>
      <c r="C84" s="3072" t="s">
        <v>4620</v>
      </c>
      <c r="D84" s="3072" t="s">
        <v>4621</v>
      </c>
      <c r="E84" s="552"/>
      <c r="F84" s="552"/>
      <c r="G84" s="552"/>
      <c r="H84" s="553"/>
      <c r="I84" s="553"/>
      <c r="J84" s="553"/>
      <c r="K84" s="553"/>
      <c r="L84" s="554"/>
      <c r="M84" s="555"/>
      <c r="N84" s="1150"/>
      <c r="O84" s="1150"/>
      <c r="P84" s="468"/>
      <c r="Q84" s="559"/>
    </row>
    <row r="85" spans="1:17" s="469" customFormat="1" ht="14.4" thickBot="1">
      <c r="A85" s="551"/>
      <c r="B85" s="541"/>
      <c r="C85" s="558">
        <v>100</v>
      </c>
      <c r="D85" s="558">
        <v>95</v>
      </c>
      <c r="E85" s="558"/>
      <c r="F85" s="558"/>
      <c r="G85" s="558"/>
      <c r="H85" s="560"/>
      <c r="I85" s="560"/>
      <c r="J85" s="560"/>
      <c r="K85" s="560"/>
      <c r="L85" s="560"/>
      <c r="M85" s="561"/>
      <c r="N85" s="1150"/>
      <c r="O85" s="1150"/>
      <c r="P85" s="556"/>
      <c r="Q85" s="557"/>
    </row>
    <row r="86" spans="1:17" s="469" customFormat="1" ht="14.4"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4.4"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4.4"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29.4"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4.4"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9.4"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4.4"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4.4"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4.4"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4.4"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9.4" thickTop="1">
      <c r="A106" s="532"/>
      <c r="B106" s="536" t="s">
        <v>2673</v>
      </c>
      <c r="C106" s="3072" t="s">
        <v>4623</v>
      </c>
      <c r="D106" s="3072" t="s">
        <v>4624</v>
      </c>
      <c r="E106" s="3072" t="s">
        <v>4625</v>
      </c>
      <c r="F106" s="3072" t="s">
        <v>4626</v>
      </c>
      <c r="G106" s="3072" t="s">
        <v>4627</v>
      </c>
      <c r="H106" s="581"/>
      <c r="I106" s="581"/>
      <c r="J106" s="581"/>
      <c r="K106" s="582"/>
      <c r="L106" s="583"/>
      <c r="M106" s="584"/>
      <c r="N106" s="1148"/>
      <c r="O106" s="1148"/>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4.4"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4.4"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4.4" hidden="1" thickBot="1">
      <c r="A111" s="532"/>
      <c r="B111" s="567"/>
      <c r="C111" s="558"/>
      <c r="D111" s="558"/>
      <c r="E111" s="558"/>
      <c r="F111" s="558"/>
      <c r="G111" s="589"/>
      <c r="H111" s="589"/>
      <c r="I111" s="589"/>
      <c r="J111" s="589"/>
      <c r="K111" s="589"/>
      <c r="L111" s="589"/>
      <c r="M111" s="590"/>
      <c r="N111" s="1149"/>
      <c r="O111" s="1149"/>
      <c r="P111" s="45"/>
      <c r="Q111" s="502"/>
    </row>
    <row r="112" spans="1:17" ht="14.4"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4.4"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4.4"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4.4"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4.4"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4628</v>
      </c>
      <c r="D119" s="3074" t="s">
        <v>4629</v>
      </c>
      <c r="E119" s="3074" t="s">
        <v>4630</v>
      </c>
      <c r="F119" s="3074" t="s">
        <v>4631</v>
      </c>
      <c r="G119" s="581"/>
      <c r="H119" s="581"/>
      <c r="I119" s="581"/>
      <c r="J119" s="581"/>
      <c r="K119" s="582"/>
      <c r="L119" s="583"/>
      <c r="M119" s="584"/>
      <c r="N119" s="1148"/>
      <c r="O119" s="1148"/>
      <c r="P119" s="45"/>
      <c r="Q119" s="502"/>
    </row>
    <row r="120" spans="1:17" ht="14.4"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4.4"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4632</v>
      </c>
      <c r="D123" s="3072" t="s">
        <v>4633</v>
      </c>
      <c r="E123" s="3072" t="s">
        <v>4634</v>
      </c>
      <c r="F123" s="3072" t="s">
        <v>4635</v>
      </c>
      <c r="G123" s="3072" t="s">
        <v>4636</v>
      </c>
      <c r="H123" s="3074" t="s">
        <v>4637</v>
      </c>
      <c r="I123" s="581"/>
      <c r="J123" s="581"/>
      <c r="K123" s="582"/>
      <c r="L123" s="583"/>
      <c r="M123" s="584"/>
      <c r="N123" s="1150"/>
      <c r="O123" s="1150"/>
      <c r="P123" s="556"/>
      <c r="Q123" s="557"/>
    </row>
    <row r="124" spans="1:17" s="469" customFormat="1" ht="14.4"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4638</v>
      </c>
      <c r="D125" s="3072" t="s">
        <v>4639</v>
      </c>
      <c r="E125" s="581"/>
      <c r="F125" s="581"/>
      <c r="G125" s="581"/>
      <c r="H125" s="581"/>
      <c r="I125" s="581"/>
      <c r="J125" s="581"/>
      <c r="K125" s="582"/>
      <c r="L125" s="583"/>
      <c r="M125" s="584"/>
      <c r="N125" s="1148"/>
      <c r="O125" s="1148"/>
      <c r="P125" s="45"/>
      <c r="Q125" s="502"/>
    </row>
    <row r="126" spans="1:17" ht="14.4"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4.4" thickTop="1">
      <c r="A127" s="597"/>
      <c r="B127" s="536">
        <f>B43</f>
        <v>111</v>
      </c>
      <c r="C127" s="552"/>
      <c r="D127" s="552"/>
      <c r="E127" s="552"/>
      <c r="F127" s="552"/>
      <c r="G127" s="552"/>
      <c r="H127" s="581"/>
      <c r="I127" s="581"/>
      <c r="J127" s="581"/>
      <c r="K127" s="582"/>
      <c r="L127" s="583"/>
      <c r="M127" s="584"/>
      <c r="N127" s="1148"/>
      <c r="O127" s="1148"/>
      <c r="P127" s="45"/>
      <c r="Q127" s="502"/>
    </row>
    <row r="128" spans="1:17" ht="14.4" thickBot="1">
      <c r="A128" s="532"/>
      <c r="B128" s="541"/>
      <c r="C128" s="558"/>
      <c r="D128" s="558"/>
      <c r="E128" s="558"/>
      <c r="F128" s="558"/>
      <c r="G128" s="534"/>
      <c r="H128" s="534"/>
      <c r="I128" s="534"/>
      <c r="J128" s="534"/>
      <c r="K128" s="534"/>
      <c r="L128" s="534"/>
      <c r="M128" s="535"/>
      <c r="N128" s="1149"/>
      <c r="O128" s="1149"/>
      <c r="P128" s="45"/>
      <c r="Q128" s="502"/>
    </row>
    <row r="129" spans="1:17" ht="14.4" thickTop="1">
      <c r="A129" s="597"/>
      <c r="B129" s="536">
        <f>B44</f>
        <v>111</v>
      </c>
      <c r="C129" s="521"/>
      <c r="D129" s="521"/>
      <c r="E129" s="521"/>
      <c r="F129" s="521"/>
      <c r="G129" s="581"/>
      <c r="H129" s="581"/>
      <c r="I129" s="581"/>
      <c r="J129" s="581"/>
      <c r="K129" s="582"/>
      <c r="L129" s="583"/>
      <c r="M129" s="584"/>
      <c r="N129" s="1148"/>
      <c r="O129" s="1148"/>
      <c r="P129" s="45"/>
      <c r="Q129" s="502"/>
    </row>
    <row r="130" spans="1:17" ht="14.4" thickBot="1">
      <c r="A130" s="532"/>
      <c r="B130" s="541"/>
      <c r="C130" s="568"/>
      <c r="D130" s="568"/>
      <c r="E130" s="568"/>
      <c r="F130" s="568"/>
      <c r="G130" s="534"/>
      <c r="H130" s="534"/>
      <c r="I130" s="534"/>
      <c r="J130" s="534"/>
      <c r="K130" s="534"/>
      <c r="L130" s="534"/>
      <c r="M130" s="535"/>
      <c r="N130" s="1149"/>
      <c r="O130" s="1149"/>
      <c r="P130" s="45"/>
      <c r="Q130" s="502"/>
    </row>
    <row r="131" spans="1:17" s="469" customFormat="1" ht="14.4"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4.4"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26" zoomScale="85" zoomScaleNormal="85" workbookViewId="0">
      <selection activeCell="K5" sqref="K5"/>
    </sheetView>
  </sheetViews>
  <sheetFormatPr defaultRowHeight="12"/>
  <cols>
    <col min="1" max="1" width="49.6640625" style="3070" customWidth="1"/>
    <col min="2" max="2" width="7.109375" style="3063" bestFit="1" customWidth="1"/>
    <col min="3" max="5" width="17.33203125" style="3063" bestFit="1" customWidth="1"/>
    <col min="6" max="6" width="15.88671875" style="3063" bestFit="1" customWidth="1"/>
    <col min="7" max="7" width="8.109375" style="3063" customWidth="1"/>
    <col min="8" max="8" width="9" style="3063" bestFit="1" customWidth="1"/>
    <col min="9" max="9" width="11.6640625" style="3063" bestFit="1" customWidth="1"/>
    <col min="10" max="11" width="13.109375" style="3063" bestFit="1" customWidth="1"/>
    <col min="12" max="12" width="18.44140625" style="3063" bestFit="1" customWidth="1"/>
    <col min="13" max="13" width="7.109375" style="3063" bestFit="1" customWidth="1"/>
    <col min="14" max="14" width="31.109375" style="3070" customWidth="1"/>
    <col min="15" max="15" width="7.88671875" style="3063" customWidth="1"/>
    <col min="16" max="16" width="11.21875" style="3063" bestFit="1" customWidth="1"/>
    <col min="17" max="17" width="49.21875" style="3063" customWidth="1"/>
    <col min="18" max="257" width="9" style="3063"/>
    <col min="258" max="258" width="81" style="3063" customWidth="1"/>
    <col min="259" max="259" width="6.21875" style="3063" customWidth="1"/>
    <col min="260" max="262" width="13.88671875" style="3063" customWidth="1"/>
    <col min="263" max="263" width="10.109375" style="3063" customWidth="1"/>
    <col min="264" max="264" width="7.88671875" style="3063" customWidth="1"/>
    <col min="265" max="265" width="9" style="3063" customWidth="1"/>
    <col min="266" max="267" width="10.6640625" style="3063" customWidth="1"/>
    <col min="268" max="268" width="14.33203125" style="3063" customWidth="1"/>
    <col min="269" max="269" width="6.21875" style="3063" customWidth="1"/>
    <col min="270" max="270" width="103.77734375" style="3063" customWidth="1"/>
    <col min="271" max="271" width="7.88671875" style="3063" customWidth="1"/>
    <col min="272" max="513" width="9" style="3063"/>
    <col min="514" max="514" width="81" style="3063" customWidth="1"/>
    <col min="515" max="515" width="6.21875" style="3063" customWidth="1"/>
    <col min="516" max="518" width="13.88671875" style="3063" customWidth="1"/>
    <col min="519" max="519" width="10.109375" style="3063" customWidth="1"/>
    <col min="520" max="520" width="7.88671875" style="3063" customWidth="1"/>
    <col min="521" max="521" width="9" style="3063" customWidth="1"/>
    <col min="522" max="523" width="10.6640625" style="3063" customWidth="1"/>
    <col min="524" max="524" width="14.33203125" style="3063" customWidth="1"/>
    <col min="525" max="525" width="6.21875" style="3063" customWidth="1"/>
    <col min="526" max="526" width="103.77734375" style="3063" customWidth="1"/>
    <col min="527" max="527" width="7.88671875" style="3063" customWidth="1"/>
    <col min="528" max="769" width="9" style="3063"/>
    <col min="770" max="770" width="81" style="3063" customWidth="1"/>
    <col min="771" max="771" width="6.21875" style="3063" customWidth="1"/>
    <col min="772" max="774" width="13.88671875" style="3063" customWidth="1"/>
    <col min="775" max="775" width="10.109375" style="3063" customWidth="1"/>
    <col min="776" max="776" width="7.88671875" style="3063" customWidth="1"/>
    <col min="777" max="777" width="9" style="3063" customWidth="1"/>
    <col min="778" max="779" width="10.6640625" style="3063" customWidth="1"/>
    <col min="780" max="780" width="14.33203125" style="3063" customWidth="1"/>
    <col min="781" max="781" width="6.21875" style="3063" customWidth="1"/>
    <col min="782" max="782" width="103.77734375" style="3063" customWidth="1"/>
    <col min="783" max="783" width="7.88671875" style="3063" customWidth="1"/>
    <col min="784" max="1025" width="9" style="3063"/>
    <col min="1026" max="1026" width="81" style="3063" customWidth="1"/>
    <col min="1027" max="1027" width="6.21875" style="3063" customWidth="1"/>
    <col min="1028" max="1030" width="13.88671875" style="3063" customWidth="1"/>
    <col min="1031" max="1031" width="10.109375" style="3063" customWidth="1"/>
    <col min="1032" max="1032" width="7.88671875" style="3063" customWidth="1"/>
    <col min="1033" max="1033" width="9" style="3063" customWidth="1"/>
    <col min="1034" max="1035" width="10.6640625" style="3063" customWidth="1"/>
    <col min="1036" max="1036" width="14.33203125" style="3063" customWidth="1"/>
    <col min="1037" max="1037" width="6.21875" style="3063" customWidth="1"/>
    <col min="1038" max="1038" width="103.77734375" style="3063" customWidth="1"/>
    <col min="1039" max="1039" width="7.88671875" style="3063" customWidth="1"/>
    <col min="1040" max="1281" width="9" style="3063"/>
    <col min="1282" max="1282" width="81" style="3063" customWidth="1"/>
    <col min="1283" max="1283" width="6.21875" style="3063" customWidth="1"/>
    <col min="1284" max="1286" width="13.88671875" style="3063" customWidth="1"/>
    <col min="1287" max="1287" width="10.109375" style="3063" customWidth="1"/>
    <col min="1288" max="1288" width="7.88671875" style="3063" customWidth="1"/>
    <col min="1289" max="1289" width="9" style="3063" customWidth="1"/>
    <col min="1290" max="1291" width="10.6640625" style="3063" customWidth="1"/>
    <col min="1292" max="1292" width="14.33203125" style="3063" customWidth="1"/>
    <col min="1293" max="1293" width="6.21875" style="3063" customWidth="1"/>
    <col min="1294" max="1294" width="103.77734375" style="3063" customWidth="1"/>
    <col min="1295" max="1295" width="7.88671875" style="3063" customWidth="1"/>
    <col min="1296" max="1537" width="9" style="3063"/>
    <col min="1538" max="1538" width="81" style="3063" customWidth="1"/>
    <col min="1539" max="1539" width="6.21875" style="3063" customWidth="1"/>
    <col min="1540" max="1542" width="13.88671875" style="3063" customWidth="1"/>
    <col min="1543" max="1543" width="10.109375" style="3063" customWidth="1"/>
    <col min="1544" max="1544" width="7.88671875" style="3063" customWidth="1"/>
    <col min="1545" max="1545" width="9" style="3063" customWidth="1"/>
    <col min="1546" max="1547" width="10.6640625" style="3063" customWidth="1"/>
    <col min="1548" max="1548" width="14.33203125" style="3063" customWidth="1"/>
    <col min="1549" max="1549" width="6.21875" style="3063" customWidth="1"/>
    <col min="1550" max="1550" width="103.77734375" style="3063" customWidth="1"/>
    <col min="1551" max="1551" width="7.88671875" style="3063" customWidth="1"/>
    <col min="1552" max="1793" width="9" style="3063"/>
    <col min="1794" max="1794" width="81" style="3063" customWidth="1"/>
    <col min="1795" max="1795" width="6.21875" style="3063" customWidth="1"/>
    <col min="1796" max="1798" width="13.88671875" style="3063" customWidth="1"/>
    <col min="1799" max="1799" width="10.109375" style="3063" customWidth="1"/>
    <col min="1800" max="1800" width="7.88671875" style="3063" customWidth="1"/>
    <col min="1801" max="1801" width="9" style="3063" customWidth="1"/>
    <col min="1802" max="1803" width="10.6640625" style="3063" customWidth="1"/>
    <col min="1804" max="1804" width="14.33203125" style="3063" customWidth="1"/>
    <col min="1805" max="1805" width="6.21875" style="3063" customWidth="1"/>
    <col min="1806" max="1806" width="103.77734375" style="3063" customWidth="1"/>
    <col min="1807" max="1807" width="7.88671875" style="3063" customWidth="1"/>
    <col min="1808" max="2049" width="9" style="3063"/>
    <col min="2050" max="2050" width="81" style="3063" customWidth="1"/>
    <col min="2051" max="2051" width="6.21875" style="3063" customWidth="1"/>
    <col min="2052" max="2054" width="13.88671875" style="3063" customWidth="1"/>
    <col min="2055" max="2055" width="10.109375" style="3063" customWidth="1"/>
    <col min="2056" max="2056" width="7.88671875" style="3063" customWidth="1"/>
    <col min="2057" max="2057" width="9" style="3063" customWidth="1"/>
    <col min="2058" max="2059" width="10.6640625" style="3063" customWidth="1"/>
    <col min="2060" max="2060" width="14.33203125" style="3063" customWidth="1"/>
    <col min="2061" max="2061" width="6.21875" style="3063" customWidth="1"/>
    <col min="2062" max="2062" width="103.77734375" style="3063" customWidth="1"/>
    <col min="2063" max="2063" width="7.88671875" style="3063" customWidth="1"/>
    <col min="2064" max="2305" width="9" style="3063"/>
    <col min="2306" max="2306" width="81" style="3063" customWidth="1"/>
    <col min="2307" max="2307" width="6.21875" style="3063" customWidth="1"/>
    <col min="2308" max="2310" width="13.88671875" style="3063" customWidth="1"/>
    <col min="2311" max="2311" width="10.109375" style="3063" customWidth="1"/>
    <col min="2312" max="2312" width="7.88671875" style="3063" customWidth="1"/>
    <col min="2313" max="2313" width="9" style="3063" customWidth="1"/>
    <col min="2314" max="2315" width="10.6640625" style="3063" customWidth="1"/>
    <col min="2316" max="2316" width="14.33203125" style="3063" customWidth="1"/>
    <col min="2317" max="2317" width="6.21875" style="3063" customWidth="1"/>
    <col min="2318" max="2318" width="103.77734375" style="3063" customWidth="1"/>
    <col min="2319" max="2319" width="7.88671875" style="3063" customWidth="1"/>
    <col min="2320" max="2561" width="9" style="3063"/>
    <col min="2562" max="2562" width="81" style="3063" customWidth="1"/>
    <col min="2563" max="2563" width="6.21875" style="3063" customWidth="1"/>
    <col min="2564" max="2566" width="13.88671875" style="3063" customWidth="1"/>
    <col min="2567" max="2567" width="10.109375" style="3063" customWidth="1"/>
    <col min="2568" max="2568" width="7.88671875" style="3063" customWidth="1"/>
    <col min="2569" max="2569" width="9" style="3063" customWidth="1"/>
    <col min="2570" max="2571" width="10.6640625" style="3063" customWidth="1"/>
    <col min="2572" max="2572" width="14.33203125" style="3063" customWidth="1"/>
    <col min="2573" max="2573" width="6.21875" style="3063" customWidth="1"/>
    <col min="2574" max="2574" width="103.77734375" style="3063" customWidth="1"/>
    <col min="2575" max="2575" width="7.88671875" style="3063" customWidth="1"/>
    <col min="2576" max="2817" width="9" style="3063"/>
    <col min="2818" max="2818" width="81" style="3063" customWidth="1"/>
    <col min="2819" max="2819" width="6.21875" style="3063" customWidth="1"/>
    <col min="2820" max="2822" width="13.88671875" style="3063" customWidth="1"/>
    <col min="2823" max="2823" width="10.109375" style="3063" customWidth="1"/>
    <col min="2824" max="2824" width="7.88671875" style="3063" customWidth="1"/>
    <col min="2825" max="2825" width="9" style="3063" customWidth="1"/>
    <col min="2826" max="2827" width="10.6640625" style="3063" customWidth="1"/>
    <col min="2828" max="2828" width="14.33203125" style="3063" customWidth="1"/>
    <col min="2829" max="2829" width="6.21875" style="3063" customWidth="1"/>
    <col min="2830" max="2830" width="103.77734375" style="3063" customWidth="1"/>
    <col min="2831" max="2831" width="7.88671875" style="3063" customWidth="1"/>
    <col min="2832" max="3073" width="9" style="3063"/>
    <col min="3074" max="3074" width="81" style="3063" customWidth="1"/>
    <col min="3075" max="3075" width="6.21875" style="3063" customWidth="1"/>
    <col min="3076" max="3078" width="13.88671875" style="3063" customWidth="1"/>
    <col min="3079" max="3079" width="10.109375" style="3063" customWidth="1"/>
    <col min="3080" max="3080" width="7.88671875" style="3063" customWidth="1"/>
    <col min="3081" max="3081" width="9" style="3063" customWidth="1"/>
    <col min="3082" max="3083" width="10.6640625" style="3063" customWidth="1"/>
    <col min="3084" max="3084" width="14.33203125" style="3063" customWidth="1"/>
    <col min="3085" max="3085" width="6.21875" style="3063" customWidth="1"/>
    <col min="3086" max="3086" width="103.77734375" style="3063" customWidth="1"/>
    <col min="3087" max="3087" width="7.88671875" style="3063" customWidth="1"/>
    <col min="3088" max="3329" width="9" style="3063"/>
    <col min="3330" max="3330" width="81" style="3063" customWidth="1"/>
    <col min="3331" max="3331" width="6.21875" style="3063" customWidth="1"/>
    <col min="3332" max="3334" width="13.88671875" style="3063" customWidth="1"/>
    <col min="3335" max="3335" width="10.109375" style="3063" customWidth="1"/>
    <col min="3336" max="3336" width="7.88671875" style="3063" customWidth="1"/>
    <col min="3337" max="3337" width="9" style="3063" customWidth="1"/>
    <col min="3338" max="3339" width="10.6640625" style="3063" customWidth="1"/>
    <col min="3340" max="3340" width="14.33203125" style="3063" customWidth="1"/>
    <col min="3341" max="3341" width="6.21875" style="3063" customWidth="1"/>
    <col min="3342" max="3342" width="103.77734375" style="3063" customWidth="1"/>
    <col min="3343" max="3343" width="7.88671875" style="3063" customWidth="1"/>
    <col min="3344" max="3585" width="9" style="3063"/>
    <col min="3586" max="3586" width="81" style="3063" customWidth="1"/>
    <col min="3587" max="3587" width="6.21875" style="3063" customWidth="1"/>
    <col min="3588" max="3590" width="13.88671875" style="3063" customWidth="1"/>
    <col min="3591" max="3591" width="10.109375" style="3063" customWidth="1"/>
    <col min="3592" max="3592" width="7.88671875" style="3063" customWidth="1"/>
    <col min="3593" max="3593" width="9" style="3063" customWidth="1"/>
    <col min="3594" max="3595" width="10.6640625" style="3063" customWidth="1"/>
    <col min="3596" max="3596" width="14.33203125" style="3063" customWidth="1"/>
    <col min="3597" max="3597" width="6.21875" style="3063" customWidth="1"/>
    <col min="3598" max="3598" width="103.77734375" style="3063" customWidth="1"/>
    <col min="3599" max="3599" width="7.88671875" style="3063" customWidth="1"/>
    <col min="3600" max="3841" width="9" style="3063"/>
    <col min="3842" max="3842" width="81" style="3063" customWidth="1"/>
    <col min="3843" max="3843" width="6.21875" style="3063" customWidth="1"/>
    <col min="3844" max="3846" width="13.88671875" style="3063" customWidth="1"/>
    <col min="3847" max="3847" width="10.109375" style="3063" customWidth="1"/>
    <col min="3848" max="3848" width="7.88671875" style="3063" customWidth="1"/>
    <col min="3849" max="3849" width="9" style="3063" customWidth="1"/>
    <col min="3850" max="3851" width="10.6640625" style="3063" customWidth="1"/>
    <col min="3852" max="3852" width="14.33203125" style="3063" customWidth="1"/>
    <col min="3853" max="3853" width="6.21875" style="3063" customWidth="1"/>
    <col min="3854" max="3854" width="103.77734375" style="3063" customWidth="1"/>
    <col min="3855" max="3855" width="7.88671875" style="3063" customWidth="1"/>
    <col min="3856" max="4097" width="9" style="3063"/>
    <col min="4098" max="4098" width="81" style="3063" customWidth="1"/>
    <col min="4099" max="4099" width="6.21875" style="3063" customWidth="1"/>
    <col min="4100" max="4102" width="13.88671875" style="3063" customWidth="1"/>
    <col min="4103" max="4103" width="10.109375" style="3063" customWidth="1"/>
    <col min="4104" max="4104" width="7.88671875" style="3063" customWidth="1"/>
    <col min="4105" max="4105" width="9" style="3063" customWidth="1"/>
    <col min="4106" max="4107" width="10.6640625" style="3063" customWidth="1"/>
    <col min="4108" max="4108" width="14.33203125" style="3063" customWidth="1"/>
    <col min="4109" max="4109" width="6.21875" style="3063" customWidth="1"/>
    <col min="4110" max="4110" width="103.77734375" style="3063" customWidth="1"/>
    <col min="4111" max="4111" width="7.88671875" style="3063" customWidth="1"/>
    <col min="4112" max="4353" width="9" style="3063"/>
    <col min="4354" max="4354" width="81" style="3063" customWidth="1"/>
    <col min="4355" max="4355" width="6.21875" style="3063" customWidth="1"/>
    <col min="4356" max="4358" width="13.88671875" style="3063" customWidth="1"/>
    <col min="4359" max="4359" width="10.109375" style="3063" customWidth="1"/>
    <col min="4360" max="4360" width="7.88671875" style="3063" customWidth="1"/>
    <col min="4361" max="4361" width="9" style="3063" customWidth="1"/>
    <col min="4362" max="4363" width="10.6640625" style="3063" customWidth="1"/>
    <col min="4364" max="4364" width="14.33203125" style="3063" customWidth="1"/>
    <col min="4365" max="4365" width="6.21875" style="3063" customWidth="1"/>
    <col min="4366" max="4366" width="103.77734375" style="3063" customWidth="1"/>
    <col min="4367" max="4367" width="7.88671875" style="3063" customWidth="1"/>
    <col min="4368" max="4609" width="9" style="3063"/>
    <col min="4610" max="4610" width="81" style="3063" customWidth="1"/>
    <col min="4611" max="4611" width="6.21875" style="3063" customWidth="1"/>
    <col min="4612" max="4614" width="13.88671875" style="3063" customWidth="1"/>
    <col min="4615" max="4615" width="10.109375" style="3063" customWidth="1"/>
    <col min="4616" max="4616" width="7.88671875" style="3063" customWidth="1"/>
    <col min="4617" max="4617" width="9" style="3063" customWidth="1"/>
    <col min="4618" max="4619" width="10.6640625" style="3063" customWidth="1"/>
    <col min="4620" max="4620" width="14.33203125" style="3063" customWidth="1"/>
    <col min="4621" max="4621" width="6.21875" style="3063" customWidth="1"/>
    <col min="4622" max="4622" width="103.77734375" style="3063" customWidth="1"/>
    <col min="4623" max="4623" width="7.88671875" style="3063" customWidth="1"/>
    <col min="4624" max="4865" width="9" style="3063"/>
    <col min="4866" max="4866" width="81" style="3063" customWidth="1"/>
    <col min="4867" max="4867" width="6.21875" style="3063" customWidth="1"/>
    <col min="4868" max="4870" width="13.88671875" style="3063" customWidth="1"/>
    <col min="4871" max="4871" width="10.109375" style="3063" customWidth="1"/>
    <col min="4872" max="4872" width="7.88671875" style="3063" customWidth="1"/>
    <col min="4873" max="4873" width="9" style="3063" customWidth="1"/>
    <col min="4874" max="4875" width="10.6640625" style="3063" customWidth="1"/>
    <col min="4876" max="4876" width="14.33203125" style="3063" customWidth="1"/>
    <col min="4877" max="4877" width="6.21875" style="3063" customWidth="1"/>
    <col min="4878" max="4878" width="103.77734375" style="3063" customWidth="1"/>
    <col min="4879" max="4879" width="7.88671875" style="3063" customWidth="1"/>
    <col min="4880" max="5121" width="9" style="3063"/>
    <col min="5122" max="5122" width="81" style="3063" customWidth="1"/>
    <col min="5123" max="5123" width="6.21875" style="3063" customWidth="1"/>
    <col min="5124" max="5126" width="13.88671875" style="3063" customWidth="1"/>
    <col min="5127" max="5127" width="10.109375" style="3063" customWidth="1"/>
    <col min="5128" max="5128" width="7.88671875" style="3063" customWidth="1"/>
    <col min="5129" max="5129" width="9" style="3063" customWidth="1"/>
    <col min="5130" max="5131" width="10.6640625" style="3063" customWidth="1"/>
    <col min="5132" max="5132" width="14.33203125" style="3063" customWidth="1"/>
    <col min="5133" max="5133" width="6.21875" style="3063" customWidth="1"/>
    <col min="5134" max="5134" width="103.77734375" style="3063" customWidth="1"/>
    <col min="5135" max="5135" width="7.88671875" style="3063" customWidth="1"/>
    <col min="5136" max="5377" width="9" style="3063"/>
    <col min="5378" max="5378" width="81" style="3063" customWidth="1"/>
    <col min="5379" max="5379" width="6.21875" style="3063" customWidth="1"/>
    <col min="5380" max="5382" width="13.88671875" style="3063" customWidth="1"/>
    <col min="5383" max="5383" width="10.109375" style="3063" customWidth="1"/>
    <col min="5384" max="5384" width="7.88671875" style="3063" customWidth="1"/>
    <col min="5385" max="5385" width="9" style="3063" customWidth="1"/>
    <col min="5386" max="5387" width="10.6640625" style="3063" customWidth="1"/>
    <col min="5388" max="5388" width="14.33203125" style="3063" customWidth="1"/>
    <col min="5389" max="5389" width="6.21875" style="3063" customWidth="1"/>
    <col min="5390" max="5390" width="103.77734375" style="3063" customWidth="1"/>
    <col min="5391" max="5391" width="7.88671875" style="3063" customWidth="1"/>
    <col min="5392" max="5633" width="9" style="3063"/>
    <col min="5634" max="5634" width="81" style="3063" customWidth="1"/>
    <col min="5635" max="5635" width="6.21875" style="3063" customWidth="1"/>
    <col min="5636" max="5638" width="13.88671875" style="3063" customWidth="1"/>
    <col min="5639" max="5639" width="10.109375" style="3063" customWidth="1"/>
    <col min="5640" max="5640" width="7.88671875" style="3063" customWidth="1"/>
    <col min="5641" max="5641" width="9" style="3063" customWidth="1"/>
    <col min="5642" max="5643" width="10.6640625" style="3063" customWidth="1"/>
    <col min="5644" max="5644" width="14.33203125" style="3063" customWidth="1"/>
    <col min="5645" max="5645" width="6.21875" style="3063" customWidth="1"/>
    <col min="5646" max="5646" width="103.77734375" style="3063" customWidth="1"/>
    <col min="5647" max="5647" width="7.88671875" style="3063" customWidth="1"/>
    <col min="5648" max="5889" width="9" style="3063"/>
    <col min="5890" max="5890" width="81" style="3063" customWidth="1"/>
    <col min="5891" max="5891" width="6.21875" style="3063" customWidth="1"/>
    <col min="5892" max="5894" width="13.88671875" style="3063" customWidth="1"/>
    <col min="5895" max="5895" width="10.109375" style="3063" customWidth="1"/>
    <col min="5896" max="5896" width="7.88671875" style="3063" customWidth="1"/>
    <col min="5897" max="5897" width="9" style="3063" customWidth="1"/>
    <col min="5898" max="5899" width="10.6640625" style="3063" customWidth="1"/>
    <col min="5900" max="5900" width="14.33203125" style="3063" customWidth="1"/>
    <col min="5901" max="5901" width="6.21875" style="3063" customWidth="1"/>
    <col min="5902" max="5902" width="103.77734375" style="3063" customWidth="1"/>
    <col min="5903" max="5903" width="7.88671875" style="3063" customWidth="1"/>
    <col min="5904" max="6145" width="9" style="3063"/>
    <col min="6146" max="6146" width="81" style="3063" customWidth="1"/>
    <col min="6147" max="6147" width="6.21875" style="3063" customWidth="1"/>
    <col min="6148" max="6150" width="13.88671875" style="3063" customWidth="1"/>
    <col min="6151" max="6151" width="10.109375" style="3063" customWidth="1"/>
    <col min="6152" max="6152" width="7.88671875" style="3063" customWidth="1"/>
    <col min="6153" max="6153" width="9" style="3063" customWidth="1"/>
    <col min="6154" max="6155" width="10.6640625" style="3063" customWidth="1"/>
    <col min="6156" max="6156" width="14.33203125" style="3063" customWidth="1"/>
    <col min="6157" max="6157" width="6.21875" style="3063" customWidth="1"/>
    <col min="6158" max="6158" width="103.77734375" style="3063" customWidth="1"/>
    <col min="6159" max="6159" width="7.88671875" style="3063" customWidth="1"/>
    <col min="6160" max="6401" width="9" style="3063"/>
    <col min="6402" max="6402" width="81" style="3063" customWidth="1"/>
    <col min="6403" max="6403" width="6.21875" style="3063" customWidth="1"/>
    <col min="6404" max="6406" width="13.88671875" style="3063" customWidth="1"/>
    <col min="6407" max="6407" width="10.109375" style="3063" customWidth="1"/>
    <col min="6408" max="6408" width="7.88671875" style="3063" customWidth="1"/>
    <col min="6409" max="6409" width="9" style="3063" customWidth="1"/>
    <col min="6410" max="6411" width="10.6640625" style="3063" customWidth="1"/>
    <col min="6412" max="6412" width="14.33203125" style="3063" customWidth="1"/>
    <col min="6413" max="6413" width="6.21875" style="3063" customWidth="1"/>
    <col min="6414" max="6414" width="103.77734375" style="3063" customWidth="1"/>
    <col min="6415" max="6415" width="7.88671875" style="3063" customWidth="1"/>
    <col min="6416" max="6657" width="9" style="3063"/>
    <col min="6658" max="6658" width="81" style="3063" customWidth="1"/>
    <col min="6659" max="6659" width="6.21875" style="3063" customWidth="1"/>
    <col min="6660" max="6662" width="13.88671875" style="3063" customWidth="1"/>
    <col min="6663" max="6663" width="10.109375" style="3063" customWidth="1"/>
    <col min="6664" max="6664" width="7.88671875" style="3063" customWidth="1"/>
    <col min="6665" max="6665" width="9" style="3063" customWidth="1"/>
    <col min="6666" max="6667" width="10.6640625" style="3063" customWidth="1"/>
    <col min="6668" max="6668" width="14.33203125" style="3063" customWidth="1"/>
    <col min="6669" max="6669" width="6.21875" style="3063" customWidth="1"/>
    <col min="6670" max="6670" width="103.77734375" style="3063" customWidth="1"/>
    <col min="6671" max="6671" width="7.88671875" style="3063" customWidth="1"/>
    <col min="6672" max="6913" width="9" style="3063"/>
    <col min="6914" max="6914" width="81" style="3063" customWidth="1"/>
    <col min="6915" max="6915" width="6.21875" style="3063" customWidth="1"/>
    <col min="6916" max="6918" width="13.88671875" style="3063" customWidth="1"/>
    <col min="6919" max="6919" width="10.109375" style="3063" customWidth="1"/>
    <col min="6920" max="6920" width="7.88671875" style="3063" customWidth="1"/>
    <col min="6921" max="6921" width="9" style="3063" customWidth="1"/>
    <col min="6922" max="6923" width="10.6640625" style="3063" customWidth="1"/>
    <col min="6924" max="6924" width="14.33203125" style="3063" customWidth="1"/>
    <col min="6925" max="6925" width="6.21875" style="3063" customWidth="1"/>
    <col min="6926" max="6926" width="103.77734375" style="3063" customWidth="1"/>
    <col min="6927" max="6927" width="7.88671875" style="3063" customWidth="1"/>
    <col min="6928" max="7169" width="9" style="3063"/>
    <col min="7170" max="7170" width="81" style="3063" customWidth="1"/>
    <col min="7171" max="7171" width="6.21875" style="3063" customWidth="1"/>
    <col min="7172" max="7174" width="13.88671875" style="3063" customWidth="1"/>
    <col min="7175" max="7175" width="10.109375" style="3063" customWidth="1"/>
    <col min="7176" max="7176" width="7.88671875" style="3063" customWidth="1"/>
    <col min="7177" max="7177" width="9" style="3063" customWidth="1"/>
    <col min="7178" max="7179" width="10.6640625" style="3063" customWidth="1"/>
    <col min="7180" max="7180" width="14.33203125" style="3063" customWidth="1"/>
    <col min="7181" max="7181" width="6.21875" style="3063" customWidth="1"/>
    <col min="7182" max="7182" width="103.77734375" style="3063" customWidth="1"/>
    <col min="7183" max="7183" width="7.88671875" style="3063" customWidth="1"/>
    <col min="7184" max="7425" width="9" style="3063"/>
    <col min="7426" max="7426" width="81" style="3063" customWidth="1"/>
    <col min="7427" max="7427" width="6.21875" style="3063" customWidth="1"/>
    <col min="7428" max="7430" width="13.88671875" style="3063" customWidth="1"/>
    <col min="7431" max="7431" width="10.109375" style="3063" customWidth="1"/>
    <col min="7432" max="7432" width="7.88671875" style="3063" customWidth="1"/>
    <col min="7433" max="7433" width="9" style="3063" customWidth="1"/>
    <col min="7434" max="7435" width="10.6640625" style="3063" customWidth="1"/>
    <col min="7436" max="7436" width="14.33203125" style="3063" customWidth="1"/>
    <col min="7437" max="7437" width="6.21875" style="3063" customWidth="1"/>
    <col min="7438" max="7438" width="103.77734375" style="3063" customWidth="1"/>
    <col min="7439" max="7439" width="7.88671875" style="3063" customWidth="1"/>
    <col min="7440" max="7681" width="9" style="3063"/>
    <col min="7682" max="7682" width="81" style="3063" customWidth="1"/>
    <col min="7683" max="7683" width="6.21875" style="3063" customWidth="1"/>
    <col min="7684" max="7686" width="13.88671875" style="3063" customWidth="1"/>
    <col min="7687" max="7687" width="10.109375" style="3063" customWidth="1"/>
    <col min="7688" max="7688" width="7.88671875" style="3063" customWidth="1"/>
    <col min="7689" max="7689" width="9" style="3063" customWidth="1"/>
    <col min="7690" max="7691" width="10.6640625" style="3063" customWidth="1"/>
    <col min="7692" max="7692" width="14.33203125" style="3063" customWidth="1"/>
    <col min="7693" max="7693" width="6.21875" style="3063" customWidth="1"/>
    <col min="7694" max="7694" width="103.77734375" style="3063" customWidth="1"/>
    <col min="7695" max="7695" width="7.88671875" style="3063" customWidth="1"/>
    <col min="7696" max="7937" width="9" style="3063"/>
    <col min="7938" max="7938" width="81" style="3063" customWidth="1"/>
    <col min="7939" max="7939" width="6.21875" style="3063" customWidth="1"/>
    <col min="7940" max="7942" width="13.88671875" style="3063" customWidth="1"/>
    <col min="7943" max="7943" width="10.109375" style="3063" customWidth="1"/>
    <col min="7944" max="7944" width="7.88671875" style="3063" customWidth="1"/>
    <col min="7945" max="7945" width="9" style="3063" customWidth="1"/>
    <col min="7946" max="7947" width="10.6640625" style="3063" customWidth="1"/>
    <col min="7948" max="7948" width="14.33203125" style="3063" customWidth="1"/>
    <col min="7949" max="7949" width="6.21875" style="3063" customWidth="1"/>
    <col min="7950" max="7950" width="103.77734375" style="3063" customWidth="1"/>
    <col min="7951" max="7951" width="7.88671875" style="3063" customWidth="1"/>
    <col min="7952" max="8193" width="9" style="3063"/>
    <col min="8194" max="8194" width="81" style="3063" customWidth="1"/>
    <col min="8195" max="8195" width="6.21875" style="3063" customWidth="1"/>
    <col min="8196" max="8198" width="13.88671875" style="3063" customWidth="1"/>
    <col min="8199" max="8199" width="10.109375" style="3063" customWidth="1"/>
    <col min="8200" max="8200" width="7.88671875" style="3063" customWidth="1"/>
    <col min="8201" max="8201" width="9" style="3063" customWidth="1"/>
    <col min="8202" max="8203" width="10.6640625" style="3063" customWidth="1"/>
    <col min="8204" max="8204" width="14.33203125" style="3063" customWidth="1"/>
    <col min="8205" max="8205" width="6.21875" style="3063" customWidth="1"/>
    <col min="8206" max="8206" width="103.77734375" style="3063" customWidth="1"/>
    <col min="8207" max="8207" width="7.88671875" style="3063" customWidth="1"/>
    <col min="8208" max="8449" width="9" style="3063"/>
    <col min="8450" max="8450" width="81" style="3063" customWidth="1"/>
    <col min="8451" max="8451" width="6.21875" style="3063" customWidth="1"/>
    <col min="8452" max="8454" width="13.88671875" style="3063" customWidth="1"/>
    <col min="8455" max="8455" width="10.109375" style="3063" customWidth="1"/>
    <col min="8456" max="8456" width="7.88671875" style="3063" customWidth="1"/>
    <col min="8457" max="8457" width="9" style="3063" customWidth="1"/>
    <col min="8458" max="8459" width="10.6640625" style="3063" customWidth="1"/>
    <col min="8460" max="8460" width="14.33203125" style="3063" customWidth="1"/>
    <col min="8461" max="8461" width="6.21875" style="3063" customWidth="1"/>
    <col min="8462" max="8462" width="103.77734375" style="3063" customWidth="1"/>
    <col min="8463" max="8463" width="7.88671875" style="3063" customWidth="1"/>
    <col min="8464" max="8705" width="9" style="3063"/>
    <col min="8706" max="8706" width="81" style="3063" customWidth="1"/>
    <col min="8707" max="8707" width="6.21875" style="3063" customWidth="1"/>
    <col min="8708" max="8710" width="13.88671875" style="3063" customWidth="1"/>
    <col min="8711" max="8711" width="10.109375" style="3063" customWidth="1"/>
    <col min="8712" max="8712" width="7.88671875" style="3063" customWidth="1"/>
    <col min="8713" max="8713" width="9" style="3063" customWidth="1"/>
    <col min="8714" max="8715" width="10.6640625" style="3063" customWidth="1"/>
    <col min="8716" max="8716" width="14.33203125" style="3063" customWidth="1"/>
    <col min="8717" max="8717" width="6.21875" style="3063" customWidth="1"/>
    <col min="8718" max="8718" width="103.77734375" style="3063" customWidth="1"/>
    <col min="8719" max="8719" width="7.88671875" style="3063" customWidth="1"/>
    <col min="8720" max="8961" width="9" style="3063"/>
    <col min="8962" max="8962" width="81" style="3063" customWidth="1"/>
    <col min="8963" max="8963" width="6.21875" style="3063" customWidth="1"/>
    <col min="8964" max="8966" width="13.88671875" style="3063" customWidth="1"/>
    <col min="8967" max="8967" width="10.109375" style="3063" customWidth="1"/>
    <col min="8968" max="8968" width="7.88671875" style="3063" customWidth="1"/>
    <col min="8969" max="8969" width="9" style="3063" customWidth="1"/>
    <col min="8970" max="8971" width="10.6640625" style="3063" customWidth="1"/>
    <col min="8972" max="8972" width="14.33203125" style="3063" customWidth="1"/>
    <col min="8973" max="8973" width="6.21875" style="3063" customWidth="1"/>
    <col min="8974" max="8974" width="103.77734375" style="3063" customWidth="1"/>
    <col min="8975" max="8975" width="7.88671875" style="3063" customWidth="1"/>
    <col min="8976" max="9217" width="9" style="3063"/>
    <col min="9218" max="9218" width="81" style="3063" customWidth="1"/>
    <col min="9219" max="9219" width="6.21875" style="3063" customWidth="1"/>
    <col min="9220" max="9222" width="13.88671875" style="3063" customWidth="1"/>
    <col min="9223" max="9223" width="10.109375" style="3063" customWidth="1"/>
    <col min="9224" max="9224" width="7.88671875" style="3063" customWidth="1"/>
    <col min="9225" max="9225" width="9" style="3063" customWidth="1"/>
    <col min="9226" max="9227" width="10.6640625" style="3063" customWidth="1"/>
    <col min="9228" max="9228" width="14.33203125" style="3063" customWidth="1"/>
    <col min="9229" max="9229" width="6.21875" style="3063" customWidth="1"/>
    <col min="9230" max="9230" width="103.77734375" style="3063" customWidth="1"/>
    <col min="9231" max="9231" width="7.88671875" style="3063" customWidth="1"/>
    <col min="9232" max="9473" width="9" style="3063"/>
    <col min="9474" max="9474" width="81" style="3063" customWidth="1"/>
    <col min="9475" max="9475" width="6.21875" style="3063" customWidth="1"/>
    <col min="9476" max="9478" width="13.88671875" style="3063" customWidth="1"/>
    <col min="9479" max="9479" width="10.109375" style="3063" customWidth="1"/>
    <col min="9480" max="9480" width="7.88671875" style="3063" customWidth="1"/>
    <col min="9481" max="9481" width="9" style="3063" customWidth="1"/>
    <col min="9482" max="9483" width="10.6640625" style="3063" customWidth="1"/>
    <col min="9484" max="9484" width="14.33203125" style="3063" customWidth="1"/>
    <col min="9485" max="9485" width="6.21875" style="3063" customWidth="1"/>
    <col min="9486" max="9486" width="103.77734375" style="3063" customWidth="1"/>
    <col min="9487" max="9487" width="7.88671875" style="3063" customWidth="1"/>
    <col min="9488" max="9729" width="9" style="3063"/>
    <col min="9730" max="9730" width="81" style="3063" customWidth="1"/>
    <col min="9731" max="9731" width="6.21875" style="3063" customWidth="1"/>
    <col min="9732" max="9734" width="13.88671875" style="3063" customWidth="1"/>
    <col min="9735" max="9735" width="10.109375" style="3063" customWidth="1"/>
    <col min="9736" max="9736" width="7.88671875" style="3063" customWidth="1"/>
    <col min="9737" max="9737" width="9" style="3063" customWidth="1"/>
    <col min="9738" max="9739" width="10.6640625" style="3063" customWidth="1"/>
    <col min="9740" max="9740" width="14.33203125" style="3063" customWidth="1"/>
    <col min="9741" max="9741" width="6.21875" style="3063" customWidth="1"/>
    <col min="9742" max="9742" width="103.77734375" style="3063" customWidth="1"/>
    <col min="9743" max="9743" width="7.88671875" style="3063" customWidth="1"/>
    <col min="9744" max="9985" width="9" style="3063"/>
    <col min="9986" max="9986" width="81" style="3063" customWidth="1"/>
    <col min="9987" max="9987" width="6.21875" style="3063" customWidth="1"/>
    <col min="9988" max="9990" width="13.88671875" style="3063" customWidth="1"/>
    <col min="9991" max="9991" width="10.109375" style="3063" customWidth="1"/>
    <col min="9992" max="9992" width="7.88671875" style="3063" customWidth="1"/>
    <col min="9993" max="9993" width="9" style="3063" customWidth="1"/>
    <col min="9994" max="9995" width="10.6640625" style="3063" customWidth="1"/>
    <col min="9996" max="9996" width="14.33203125" style="3063" customWidth="1"/>
    <col min="9997" max="9997" width="6.21875" style="3063" customWidth="1"/>
    <col min="9998" max="9998" width="103.77734375" style="3063" customWidth="1"/>
    <col min="9999" max="9999" width="7.88671875" style="3063" customWidth="1"/>
    <col min="10000" max="10241" width="9" style="3063"/>
    <col min="10242" max="10242" width="81" style="3063" customWidth="1"/>
    <col min="10243" max="10243" width="6.21875" style="3063" customWidth="1"/>
    <col min="10244" max="10246" width="13.88671875" style="3063" customWidth="1"/>
    <col min="10247" max="10247" width="10.109375" style="3063" customWidth="1"/>
    <col min="10248" max="10248" width="7.88671875" style="3063" customWidth="1"/>
    <col min="10249" max="10249" width="9" style="3063" customWidth="1"/>
    <col min="10250" max="10251" width="10.6640625" style="3063" customWidth="1"/>
    <col min="10252" max="10252" width="14.33203125" style="3063" customWidth="1"/>
    <col min="10253" max="10253" width="6.21875" style="3063" customWidth="1"/>
    <col min="10254" max="10254" width="103.77734375" style="3063" customWidth="1"/>
    <col min="10255" max="10255" width="7.88671875" style="3063" customWidth="1"/>
    <col min="10256" max="10497" width="9" style="3063"/>
    <col min="10498" max="10498" width="81" style="3063" customWidth="1"/>
    <col min="10499" max="10499" width="6.21875" style="3063" customWidth="1"/>
    <col min="10500" max="10502" width="13.88671875" style="3063" customWidth="1"/>
    <col min="10503" max="10503" width="10.109375" style="3063" customWidth="1"/>
    <col min="10504" max="10504" width="7.88671875" style="3063" customWidth="1"/>
    <col min="10505" max="10505" width="9" style="3063" customWidth="1"/>
    <col min="10506" max="10507" width="10.6640625" style="3063" customWidth="1"/>
    <col min="10508" max="10508" width="14.33203125" style="3063" customWidth="1"/>
    <col min="10509" max="10509" width="6.21875" style="3063" customWidth="1"/>
    <col min="10510" max="10510" width="103.77734375" style="3063" customWidth="1"/>
    <col min="10511" max="10511" width="7.88671875" style="3063" customWidth="1"/>
    <col min="10512" max="10753" width="9" style="3063"/>
    <col min="10754" max="10754" width="81" style="3063" customWidth="1"/>
    <col min="10755" max="10755" width="6.21875" style="3063" customWidth="1"/>
    <col min="10756" max="10758" width="13.88671875" style="3063" customWidth="1"/>
    <col min="10759" max="10759" width="10.109375" style="3063" customWidth="1"/>
    <col min="10760" max="10760" width="7.88671875" style="3063" customWidth="1"/>
    <col min="10761" max="10761" width="9" style="3063" customWidth="1"/>
    <col min="10762" max="10763" width="10.6640625" style="3063" customWidth="1"/>
    <col min="10764" max="10764" width="14.33203125" style="3063" customWidth="1"/>
    <col min="10765" max="10765" width="6.21875" style="3063" customWidth="1"/>
    <col min="10766" max="10766" width="103.77734375" style="3063" customWidth="1"/>
    <col min="10767" max="10767" width="7.88671875" style="3063" customWidth="1"/>
    <col min="10768" max="11009" width="9" style="3063"/>
    <col min="11010" max="11010" width="81" style="3063" customWidth="1"/>
    <col min="11011" max="11011" width="6.21875" style="3063" customWidth="1"/>
    <col min="11012" max="11014" width="13.88671875" style="3063" customWidth="1"/>
    <col min="11015" max="11015" width="10.109375" style="3063" customWidth="1"/>
    <col min="11016" max="11016" width="7.88671875" style="3063" customWidth="1"/>
    <col min="11017" max="11017" width="9" style="3063" customWidth="1"/>
    <col min="11018" max="11019" width="10.6640625" style="3063" customWidth="1"/>
    <col min="11020" max="11020" width="14.33203125" style="3063" customWidth="1"/>
    <col min="11021" max="11021" width="6.21875" style="3063" customWidth="1"/>
    <col min="11022" max="11022" width="103.77734375" style="3063" customWidth="1"/>
    <col min="11023" max="11023" width="7.88671875" style="3063" customWidth="1"/>
    <col min="11024" max="11265" width="9" style="3063"/>
    <col min="11266" max="11266" width="81" style="3063" customWidth="1"/>
    <col min="11267" max="11267" width="6.21875" style="3063" customWidth="1"/>
    <col min="11268" max="11270" width="13.88671875" style="3063" customWidth="1"/>
    <col min="11271" max="11271" width="10.109375" style="3063" customWidth="1"/>
    <col min="11272" max="11272" width="7.88671875" style="3063" customWidth="1"/>
    <col min="11273" max="11273" width="9" style="3063" customWidth="1"/>
    <col min="11274" max="11275" width="10.6640625" style="3063" customWidth="1"/>
    <col min="11276" max="11276" width="14.33203125" style="3063" customWidth="1"/>
    <col min="11277" max="11277" width="6.21875" style="3063" customWidth="1"/>
    <col min="11278" max="11278" width="103.77734375" style="3063" customWidth="1"/>
    <col min="11279" max="11279" width="7.88671875" style="3063" customWidth="1"/>
    <col min="11280" max="11521" width="9" style="3063"/>
    <col min="11522" max="11522" width="81" style="3063" customWidth="1"/>
    <col min="11523" max="11523" width="6.21875" style="3063" customWidth="1"/>
    <col min="11524" max="11526" width="13.88671875" style="3063" customWidth="1"/>
    <col min="11527" max="11527" width="10.109375" style="3063" customWidth="1"/>
    <col min="11528" max="11528" width="7.88671875" style="3063" customWidth="1"/>
    <col min="11529" max="11529" width="9" style="3063" customWidth="1"/>
    <col min="11530" max="11531" width="10.6640625" style="3063" customWidth="1"/>
    <col min="11532" max="11532" width="14.33203125" style="3063" customWidth="1"/>
    <col min="11533" max="11533" width="6.21875" style="3063" customWidth="1"/>
    <col min="11534" max="11534" width="103.77734375" style="3063" customWidth="1"/>
    <col min="11535" max="11535" width="7.88671875" style="3063" customWidth="1"/>
    <col min="11536" max="11777" width="9" style="3063"/>
    <col min="11778" max="11778" width="81" style="3063" customWidth="1"/>
    <col min="11779" max="11779" width="6.21875" style="3063" customWidth="1"/>
    <col min="11780" max="11782" width="13.88671875" style="3063" customWidth="1"/>
    <col min="11783" max="11783" width="10.109375" style="3063" customWidth="1"/>
    <col min="11784" max="11784" width="7.88671875" style="3063" customWidth="1"/>
    <col min="11785" max="11785" width="9" style="3063" customWidth="1"/>
    <col min="11786" max="11787" width="10.6640625" style="3063" customWidth="1"/>
    <col min="11788" max="11788" width="14.33203125" style="3063" customWidth="1"/>
    <col min="11789" max="11789" width="6.21875" style="3063" customWidth="1"/>
    <col min="11790" max="11790" width="103.77734375" style="3063" customWidth="1"/>
    <col min="11791" max="11791" width="7.88671875" style="3063" customWidth="1"/>
    <col min="11792" max="12033" width="9" style="3063"/>
    <col min="12034" max="12034" width="81" style="3063" customWidth="1"/>
    <col min="12035" max="12035" width="6.21875" style="3063" customWidth="1"/>
    <col min="12036" max="12038" width="13.88671875" style="3063" customWidth="1"/>
    <col min="12039" max="12039" width="10.109375" style="3063" customWidth="1"/>
    <col min="12040" max="12040" width="7.88671875" style="3063" customWidth="1"/>
    <col min="12041" max="12041" width="9" style="3063" customWidth="1"/>
    <col min="12042" max="12043" width="10.6640625" style="3063" customWidth="1"/>
    <col min="12044" max="12044" width="14.33203125" style="3063" customWidth="1"/>
    <col min="12045" max="12045" width="6.21875" style="3063" customWidth="1"/>
    <col min="12046" max="12046" width="103.77734375" style="3063" customWidth="1"/>
    <col min="12047" max="12047" width="7.88671875" style="3063" customWidth="1"/>
    <col min="12048" max="12289" width="9" style="3063"/>
    <col min="12290" max="12290" width="81" style="3063" customWidth="1"/>
    <col min="12291" max="12291" width="6.21875" style="3063" customWidth="1"/>
    <col min="12292" max="12294" width="13.88671875" style="3063" customWidth="1"/>
    <col min="12295" max="12295" width="10.109375" style="3063" customWidth="1"/>
    <col min="12296" max="12296" width="7.88671875" style="3063" customWidth="1"/>
    <col min="12297" max="12297" width="9" style="3063" customWidth="1"/>
    <col min="12298" max="12299" width="10.6640625" style="3063" customWidth="1"/>
    <col min="12300" max="12300" width="14.33203125" style="3063" customWidth="1"/>
    <col min="12301" max="12301" width="6.21875" style="3063" customWidth="1"/>
    <col min="12302" max="12302" width="103.77734375" style="3063" customWidth="1"/>
    <col min="12303" max="12303" width="7.88671875" style="3063" customWidth="1"/>
    <col min="12304" max="12545" width="9" style="3063"/>
    <col min="12546" max="12546" width="81" style="3063" customWidth="1"/>
    <col min="12547" max="12547" width="6.21875" style="3063" customWidth="1"/>
    <col min="12548" max="12550" width="13.88671875" style="3063" customWidth="1"/>
    <col min="12551" max="12551" width="10.109375" style="3063" customWidth="1"/>
    <col min="12552" max="12552" width="7.88671875" style="3063" customWidth="1"/>
    <col min="12553" max="12553" width="9" style="3063" customWidth="1"/>
    <col min="12554" max="12555" width="10.6640625" style="3063" customWidth="1"/>
    <col min="12556" max="12556" width="14.33203125" style="3063" customWidth="1"/>
    <col min="12557" max="12557" width="6.21875" style="3063" customWidth="1"/>
    <col min="12558" max="12558" width="103.77734375" style="3063" customWidth="1"/>
    <col min="12559" max="12559" width="7.88671875" style="3063" customWidth="1"/>
    <col min="12560" max="12801" width="9" style="3063"/>
    <col min="12802" max="12802" width="81" style="3063" customWidth="1"/>
    <col min="12803" max="12803" width="6.21875" style="3063" customWidth="1"/>
    <col min="12804" max="12806" width="13.88671875" style="3063" customWidth="1"/>
    <col min="12807" max="12807" width="10.109375" style="3063" customWidth="1"/>
    <col min="12808" max="12808" width="7.88671875" style="3063" customWidth="1"/>
    <col min="12809" max="12809" width="9" style="3063" customWidth="1"/>
    <col min="12810" max="12811" width="10.6640625" style="3063" customWidth="1"/>
    <col min="12812" max="12812" width="14.33203125" style="3063" customWidth="1"/>
    <col min="12813" max="12813" width="6.21875" style="3063" customWidth="1"/>
    <col min="12814" max="12814" width="103.77734375" style="3063" customWidth="1"/>
    <col min="12815" max="12815" width="7.88671875" style="3063" customWidth="1"/>
    <col min="12816" max="13057" width="9" style="3063"/>
    <col min="13058" max="13058" width="81" style="3063" customWidth="1"/>
    <col min="13059" max="13059" width="6.21875" style="3063" customWidth="1"/>
    <col min="13060" max="13062" width="13.88671875" style="3063" customWidth="1"/>
    <col min="13063" max="13063" width="10.109375" style="3063" customWidth="1"/>
    <col min="13064" max="13064" width="7.88671875" style="3063" customWidth="1"/>
    <col min="13065" max="13065" width="9" style="3063" customWidth="1"/>
    <col min="13066" max="13067" width="10.6640625" style="3063" customWidth="1"/>
    <col min="13068" max="13068" width="14.33203125" style="3063" customWidth="1"/>
    <col min="13069" max="13069" width="6.21875" style="3063" customWidth="1"/>
    <col min="13070" max="13070" width="103.77734375" style="3063" customWidth="1"/>
    <col min="13071" max="13071" width="7.88671875" style="3063" customWidth="1"/>
    <col min="13072" max="13313" width="9" style="3063"/>
    <col min="13314" max="13314" width="81" style="3063" customWidth="1"/>
    <col min="13315" max="13315" width="6.21875" style="3063" customWidth="1"/>
    <col min="13316" max="13318" width="13.88671875" style="3063" customWidth="1"/>
    <col min="13319" max="13319" width="10.109375" style="3063" customWidth="1"/>
    <col min="13320" max="13320" width="7.88671875" style="3063" customWidth="1"/>
    <col min="13321" max="13321" width="9" style="3063" customWidth="1"/>
    <col min="13322" max="13323" width="10.6640625" style="3063" customWidth="1"/>
    <col min="13324" max="13324" width="14.33203125" style="3063" customWidth="1"/>
    <col min="13325" max="13325" width="6.21875" style="3063" customWidth="1"/>
    <col min="13326" max="13326" width="103.77734375" style="3063" customWidth="1"/>
    <col min="13327" max="13327" width="7.88671875" style="3063" customWidth="1"/>
    <col min="13328" max="13569" width="9" style="3063"/>
    <col min="13570" max="13570" width="81" style="3063" customWidth="1"/>
    <col min="13571" max="13571" width="6.21875" style="3063" customWidth="1"/>
    <col min="13572" max="13574" width="13.88671875" style="3063" customWidth="1"/>
    <col min="13575" max="13575" width="10.109375" style="3063" customWidth="1"/>
    <col min="13576" max="13576" width="7.88671875" style="3063" customWidth="1"/>
    <col min="13577" max="13577" width="9" style="3063" customWidth="1"/>
    <col min="13578" max="13579" width="10.6640625" style="3063" customWidth="1"/>
    <col min="13580" max="13580" width="14.33203125" style="3063" customWidth="1"/>
    <col min="13581" max="13581" width="6.21875" style="3063" customWidth="1"/>
    <col min="13582" max="13582" width="103.77734375" style="3063" customWidth="1"/>
    <col min="13583" max="13583" width="7.88671875" style="3063" customWidth="1"/>
    <col min="13584" max="13825" width="9" style="3063"/>
    <col min="13826" max="13826" width="81" style="3063" customWidth="1"/>
    <col min="13827" max="13827" width="6.21875" style="3063" customWidth="1"/>
    <col min="13828" max="13830" width="13.88671875" style="3063" customWidth="1"/>
    <col min="13831" max="13831" width="10.109375" style="3063" customWidth="1"/>
    <col min="13832" max="13832" width="7.88671875" style="3063" customWidth="1"/>
    <col min="13833" max="13833" width="9" style="3063" customWidth="1"/>
    <col min="13834" max="13835" width="10.6640625" style="3063" customWidth="1"/>
    <col min="13836" max="13836" width="14.33203125" style="3063" customWidth="1"/>
    <col min="13837" max="13837" width="6.21875" style="3063" customWidth="1"/>
    <col min="13838" max="13838" width="103.77734375" style="3063" customWidth="1"/>
    <col min="13839" max="13839" width="7.88671875" style="3063" customWidth="1"/>
    <col min="13840" max="14081" width="9" style="3063"/>
    <col min="14082" max="14082" width="81" style="3063" customWidth="1"/>
    <col min="14083" max="14083" width="6.21875" style="3063" customWidth="1"/>
    <col min="14084" max="14086" width="13.88671875" style="3063" customWidth="1"/>
    <col min="14087" max="14087" width="10.109375" style="3063" customWidth="1"/>
    <col min="14088" max="14088" width="7.88671875" style="3063" customWidth="1"/>
    <col min="14089" max="14089" width="9" style="3063" customWidth="1"/>
    <col min="14090" max="14091" width="10.6640625" style="3063" customWidth="1"/>
    <col min="14092" max="14092" width="14.33203125" style="3063" customWidth="1"/>
    <col min="14093" max="14093" width="6.21875" style="3063" customWidth="1"/>
    <col min="14094" max="14094" width="103.77734375" style="3063" customWidth="1"/>
    <col min="14095" max="14095" width="7.88671875" style="3063" customWidth="1"/>
    <col min="14096" max="14337" width="9" style="3063"/>
    <col min="14338" max="14338" width="81" style="3063" customWidth="1"/>
    <col min="14339" max="14339" width="6.21875" style="3063" customWidth="1"/>
    <col min="14340" max="14342" width="13.88671875" style="3063" customWidth="1"/>
    <col min="14343" max="14343" width="10.109375" style="3063" customWidth="1"/>
    <col min="14344" max="14344" width="7.88671875" style="3063" customWidth="1"/>
    <col min="14345" max="14345" width="9" style="3063" customWidth="1"/>
    <col min="14346" max="14347" width="10.6640625" style="3063" customWidth="1"/>
    <col min="14348" max="14348" width="14.33203125" style="3063" customWidth="1"/>
    <col min="14349" max="14349" width="6.21875" style="3063" customWidth="1"/>
    <col min="14350" max="14350" width="103.77734375" style="3063" customWidth="1"/>
    <col min="14351" max="14351" width="7.88671875" style="3063" customWidth="1"/>
    <col min="14352" max="14593" width="9" style="3063"/>
    <col min="14594" max="14594" width="81" style="3063" customWidth="1"/>
    <col min="14595" max="14595" width="6.21875" style="3063" customWidth="1"/>
    <col min="14596" max="14598" width="13.88671875" style="3063" customWidth="1"/>
    <col min="14599" max="14599" width="10.109375" style="3063" customWidth="1"/>
    <col min="14600" max="14600" width="7.88671875" style="3063" customWidth="1"/>
    <col min="14601" max="14601" width="9" style="3063" customWidth="1"/>
    <col min="14602" max="14603" width="10.6640625" style="3063" customWidth="1"/>
    <col min="14604" max="14604" width="14.33203125" style="3063" customWidth="1"/>
    <col min="14605" max="14605" width="6.21875" style="3063" customWidth="1"/>
    <col min="14606" max="14606" width="103.77734375" style="3063" customWidth="1"/>
    <col min="14607" max="14607" width="7.88671875" style="3063" customWidth="1"/>
    <col min="14608" max="14849" width="9" style="3063"/>
    <col min="14850" max="14850" width="81" style="3063" customWidth="1"/>
    <col min="14851" max="14851" width="6.21875" style="3063" customWidth="1"/>
    <col min="14852" max="14854" width="13.88671875" style="3063" customWidth="1"/>
    <col min="14855" max="14855" width="10.109375" style="3063" customWidth="1"/>
    <col min="14856" max="14856" width="7.88671875" style="3063" customWidth="1"/>
    <col min="14857" max="14857" width="9" style="3063" customWidth="1"/>
    <col min="14858" max="14859" width="10.6640625" style="3063" customWidth="1"/>
    <col min="14860" max="14860" width="14.33203125" style="3063" customWidth="1"/>
    <col min="14861" max="14861" width="6.21875" style="3063" customWidth="1"/>
    <col min="14862" max="14862" width="103.77734375" style="3063" customWidth="1"/>
    <col min="14863" max="14863" width="7.88671875" style="3063" customWidth="1"/>
    <col min="14864" max="15105" width="9" style="3063"/>
    <col min="15106" max="15106" width="81" style="3063" customWidth="1"/>
    <col min="15107" max="15107" width="6.21875" style="3063" customWidth="1"/>
    <col min="15108" max="15110" width="13.88671875" style="3063" customWidth="1"/>
    <col min="15111" max="15111" width="10.109375" style="3063" customWidth="1"/>
    <col min="15112" max="15112" width="7.88671875" style="3063" customWidth="1"/>
    <col min="15113" max="15113" width="9" style="3063" customWidth="1"/>
    <col min="15114" max="15115" width="10.6640625" style="3063" customWidth="1"/>
    <col min="15116" max="15116" width="14.33203125" style="3063" customWidth="1"/>
    <col min="15117" max="15117" width="6.21875" style="3063" customWidth="1"/>
    <col min="15118" max="15118" width="103.77734375" style="3063" customWidth="1"/>
    <col min="15119" max="15119" width="7.88671875" style="3063" customWidth="1"/>
    <col min="15120" max="15361" width="9" style="3063"/>
    <col min="15362" max="15362" width="81" style="3063" customWidth="1"/>
    <col min="15363" max="15363" width="6.21875" style="3063" customWidth="1"/>
    <col min="15364" max="15366" width="13.88671875" style="3063" customWidth="1"/>
    <col min="15367" max="15367" width="10.109375" style="3063" customWidth="1"/>
    <col min="15368" max="15368" width="7.88671875" style="3063" customWidth="1"/>
    <col min="15369" max="15369" width="9" style="3063" customWidth="1"/>
    <col min="15370" max="15371" width="10.6640625" style="3063" customWidth="1"/>
    <col min="15372" max="15372" width="14.33203125" style="3063" customWidth="1"/>
    <col min="15373" max="15373" width="6.21875" style="3063" customWidth="1"/>
    <col min="15374" max="15374" width="103.77734375" style="3063" customWidth="1"/>
    <col min="15375" max="15375" width="7.88671875" style="3063" customWidth="1"/>
    <col min="15376" max="15617" width="9" style="3063"/>
    <col min="15618" max="15618" width="81" style="3063" customWidth="1"/>
    <col min="15619" max="15619" width="6.21875" style="3063" customWidth="1"/>
    <col min="15620" max="15622" width="13.88671875" style="3063" customWidth="1"/>
    <col min="15623" max="15623" width="10.109375" style="3063" customWidth="1"/>
    <col min="15624" max="15624" width="7.88671875" style="3063" customWidth="1"/>
    <col min="15625" max="15625" width="9" style="3063" customWidth="1"/>
    <col min="15626" max="15627" width="10.6640625" style="3063" customWidth="1"/>
    <col min="15628" max="15628" width="14.33203125" style="3063" customWidth="1"/>
    <col min="15629" max="15629" width="6.21875" style="3063" customWidth="1"/>
    <col min="15630" max="15630" width="103.77734375" style="3063" customWidth="1"/>
    <col min="15631" max="15631" width="7.88671875" style="3063" customWidth="1"/>
    <col min="15632" max="15873" width="9" style="3063"/>
    <col min="15874" max="15874" width="81" style="3063" customWidth="1"/>
    <col min="15875" max="15875" width="6.21875" style="3063" customWidth="1"/>
    <col min="15876" max="15878" width="13.88671875" style="3063" customWidth="1"/>
    <col min="15879" max="15879" width="10.109375" style="3063" customWidth="1"/>
    <col min="15880" max="15880" width="7.88671875" style="3063" customWidth="1"/>
    <col min="15881" max="15881" width="9" style="3063" customWidth="1"/>
    <col min="15882" max="15883" width="10.6640625" style="3063" customWidth="1"/>
    <col min="15884" max="15884" width="14.33203125" style="3063" customWidth="1"/>
    <col min="15885" max="15885" width="6.21875" style="3063" customWidth="1"/>
    <col min="15886" max="15886" width="103.77734375" style="3063" customWidth="1"/>
    <col min="15887" max="15887" width="7.88671875" style="3063" customWidth="1"/>
    <col min="15888" max="16129" width="9" style="3063"/>
    <col min="16130" max="16130" width="81" style="3063" customWidth="1"/>
    <col min="16131" max="16131" width="6.21875" style="3063" customWidth="1"/>
    <col min="16132" max="16134" width="13.88671875" style="3063" customWidth="1"/>
    <col min="16135" max="16135" width="10.109375" style="3063" customWidth="1"/>
    <col min="16136" max="16136" width="7.88671875" style="3063" customWidth="1"/>
    <col min="16137" max="16137" width="9" style="3063" customWidth="1"/>
    <col min="16138" max="16139" width="10.6640625" style="3063" customWidth="1"/>
    <col min="16140" max="16140" width="14.33203125" style="3063" customWidth="1"/>
    <col min="16141" max="16141" width="6.21875" style="3063" customWidth="1"/>
    <col min="16142" max="16142" width="103.77734375" style="3063" customWidth="1"/>
    <col min="16143" max="16143" width="7.88671875" style="3063" customWidth="1"/>
    <col min="16144" max="16384" width="9" style="3063"/>
  </cols>
  <sheetData>
    <row r="1" spans="1:18" s="3060" customFormat="1" ht="24">
      <c r="A1" s="3059" t="s">
        <v>4546</v>
      </c>
      <c r="B1" s="3059" t="s">
        <v>4547</v>
      </c>
      <c r="C1" s="3059" t="s">
        <v>4548</v>
      </c>
      <c r="D1" s="3059" t="s">
        <v>4549</v>
      </c>
      <c r="E1" s="3059" t="s">
        <v>4550</v>
      </c>
      <c r="F1" s="3059" t="s">
        <v>4551</v>
      </c>
      <c r="G1" s="3059" t="s">
        <v>4612</v>
      </c>
      <c r="H1" s="3059" t="s">
        <v>4552</v>
      </c>
      <c r="I1" s="3059" t="s">
        <v>4553</v>
      </c>
      <c r="J1" s="3059" t="s">
        <v>4554</v>
      </c>
      <c r="K1" s="3059" t="s">
        <v>4555</v>
      </c>
      <c r="L1" s="3059" t="s">
        <v>4556</v>
      </c>
      <c r="M1" s="3059" t="s">
        <v>4557</v>
      </c>
      <c r="N1" s="3059" t="s">
        <v>4558</v>
      </c>
      <c r="O1" s="3059" t="s">
        <v>4559</v>
      </c>
    </row>
    <row r="2" spans="1:18" ht="24">
      <c r="A2" s="3061" t="s">
        <v>4560</v>
      </c>
      <c r="B2" s="3062" t="s">
        <v>4442</v>
      </c>
      <c r="C2" s="3062" t="s">
        <v>4561</v>
      </c>
      <c r="D2" s="3062">
        <v>146640.21</v>
      </c>
      <c r="E2" s="3062">
        <v>288410</v>
      </c>
      <c r="F2" s="3062" t="s">
        <v>4562</v>
      </c>
      <c r="G2" s="3062">
        <f>ROUND(E2/D2,2)</f>
        <v>1.97</v>
      </c>
      <c r="H2" s="3062" t="s">
        <v>4563</v>
      </c>
      <c r="I2" s="3062" t="s">
        <v>4564</v>
      </c>
      <c r="J2" s="3062">
        <v>430000</v>
      </c>
      <c r="K2" s="3062">
        <v>430000</v>
      </c>
      <c r="L2" s="3062">
        <v>14909.32</v>
      </c>
      <c r="M2" s="3062">
        <v>0</v>
      </c>
      <c r="N2" s="3061" t="s">
        <v>4565</v>
      </c>
      <c r="O2" s="3062" t="s">
        <v>4566</v>
      </c>
    </row>
    <row r="3" spans="1:18" ht="24">
      <c r="A3" s="3061" t="s">
        <v>4567</v>
      </c>
      <c r="B3" s="3062" t="s">
        <v>4442</v>
      </c>
      <c r="C3" s="3062" t="s">
        <v>4568</v>
      </c>
      <c r="D3" s="3062">
        <v>96884.68</v>
      </c>
      <c r="E3" s="3062">
        <v>145327</v>
      </c>
      <c r="F3" s="3062" t="s">
        <v>4569</v>
      </c>
      <c r="G3" s="3062">
        <f t="shared" ref="G3:G18" si="0">ROUND(E3/D3,2)</f>
        <v>1.5</v>
      </c>
      <c r="H3" s="3062" t="s">
        <v>4563</v>
      </c>
      <c r="I3" s="3062" t="s">
        <v>4570</v>
      </c>
      <c r="J3" s="3062">
        <v>340000</v>
      </c>
      <c r="K3" s="3062">
        <v>410000</v>
      </c>
      <c r="L3" s="3062">
        <v>28212.240000000002</v>
      </c>
      <c r="M3" s="3062">
        <v>20.59</v>
      </c>
      <c r="N3" s="3061" t="s">
        <v>4571</v>
      </c>
      <c r="O3" s="3062" t="s">
        <v>4566</v>
      </c>
    </row>
    <row r="4" spans="1:18" ht="24">
      <c r="A4" s="3061" t="s">
        <v>4572</v>
      </c>
      <c r="B4" s="3062" t="s">
        <v>4442</v>
      </c>
      <c r="C4" s="3062" t="s">
        <v>4568</v>
      </c>
      <c r="D4" s="3062">
        <v>21403.13</v>
      </c>
      <c r="E4" s="3062">
        <v>38526</v>
      </c>
      <c r="F4" s="3062">
        <v>1.8</v>
      </c>
      <c r="G4" s="3062">
        <f t="shared" si="0"/>
        <v>1.8</v>
      </c>
      <c r="H4" s="3062" t="s">
        <v>4563</v>
      </c>
      <c r="I4" s="3062" t="s">
        <v>4573</v>
      </c>
      <c r="J4" s="3062">
        <v>71000</v>
      </c>
      <c r="K4" s="3062">
        <v>92000</v>
      </c>
      <c r="L4" s="3062">
        <v>23879.97</v>
      </c>
      <c r="M4" s="3062">
        <v>29.58</v>
      </c>
      <c r="N4" s="3061" t="s">
        <v>4574</v>
      </c>
      <c r="O4" s="3062" t="s">
        <v>4575</v>
      </c>
    </row>
    <row r="5" spans="1:18" s="3066" customFormat="1" ht="35.25" customHeight="1">
      <c r="A5" s="3064" t="s">
        <v>4738</v>
      </c>
      <c r="B5" s="3065" t="s">
        <v>4442</v>
      </c>
      <c r="C5" s="3065" t="s">
        <v>4568</v>
      </c>
      <c r="D5" s="3065">
        <v>43325.9</v>
      </c>
      <c r="E5" s="3065">
        <v>64988</v>
      </c>
      <c r="F5" s="3065">
        <v>1.5</v>
      </c>
      <c r="G5" s="3065">
        <f t="shared" si="0"/>
        <v>1.5</v>
      </c>
      <c r="H5" s="3065" t="s">
        <v>4563</v>
      </c>
      <c r="I5" s="3065" t="s">
        <v>4573</v>
      </c>
      <c r="J5" s="3065">
        <v>190000</v>
      </c>
      <c r="K5" s="3065">
        <v>204000</v>
      </c>
      <c r="L5" s="3065">
        <v>31390.400000000001</v>
      </c>
      <c r="M5" s="3065">
        <v>7.37</v>
      </c>
      <c r="N5" s="3064" t="s">
        <v>4576</v>
      </c>
      <c r="O5" s="3065" t="s">
        <v>4575</v>
      </c>
      <c r="R5" s="3065" t="s">
        <v>4614</v>
      </c>
    </row>
    <row r="6" spans="1:18" ht="24">
      <c r="A6" s="3061" t="s">
        <v>4577</v>
      </c>
      <c r="B6" s="3062" t="s">
        <v>4442</v>
      </c>
      <c r="C6" s="3062" t="s">
        <v>4561</v>
      </c>
      <c r="D6" s="3062">
        <v>28367.279999999999</v>
      </c>
      <c r="E6" s="3062">
        <v>42028</v>
      </c>
      <c r="F6" s="3062">
        <v>1.48</v>
      </c>
      <c r="G6" s="3062">
        <f t="shared" si="0"/>
        <v>1.48</v>
      </c>
      <c r="H6" s="3062" t="s">
        <v>4563</v>
      </c>
      <c r="I6" s="3062" t="s">
        <v>4578</v>
      </c>
      <c r="J6" s="3062">
        <v>76000</v>
      </c>
      <c r="K6" s="3062">
        <v>88500</v>
      </c>
      <c r="L6" s="3062">
        <v>21057.38</v>
      </c>
      <c r="M6" s="3062">
        <v>16.45</v>
      </c>
      <c r="N6" s="3061" t="s">
        <v>4579</v>
      </c>
      <c r="O6" s="3062" t="s">
        <v>4575</v>
      </c>
    </row>
    <row r="7" spans="1:18" ht="24">
      <c r="A7" s="3061" t="s">
        <v>4580</v>
      </c>
      <c r="B7" s="3062" t="s">
        <v>4442</v>
      </c>
      <c r="C7" s="3062" t="s">
        <v>4561</v>
      </c>
      <c r="D7" s="3062">
        <v>69856.02</v>
      </c>
      <c r="E7" s="3062">
        <v>104180</v>
      </c>
      <c r="F7" s="3062">
        <v>1.49</v>
      </c>
      <c r="G7" s="3062">
        <f t="shared" si="0"/>
        <v>1.49</v>
      </c>
      <c r="H7" s="3062" t="s">
        <v>4563</v>
      </c>
      <c r="I7" s="3062" t="s">
        <v>4578</v>
      </c>
      <c r="J7" s="3062">
        <v>190000</v>
      </c>
      <c r="K7" s="3062">
        <v>233000</v>
      </c>
      <c r="L7" s="3062">
        <v>22365.13</v>
      </c>
      <c r="M7" s="3062">
        <v>22.63</v>
      </c>
      <c r="N7" s="3061" t="s">
        <v>4581</v>
      </c>
      <c r="O7" s="3062" t="s">
        <v>4582</v>
      </c>
    </row>
    <row r="8" spans="1:18" ht="24">
      <c r="A8" s="3061" t="s">
        <v>4583</v>
      </c>
      <c r="B8" s="3062" t="s">
        <v>4442</v>
      </c>
      <c r="C8" s="3062" t="s">
        <v>4568</v>
      </c>
      <c r="D8" s="3062">
        <v>41663.440000000002</v>
      </c>
      <c r="E8" s="3062">
        <v>70828</v>
      </c>
      <c r="F8" s="3062">
        <v>1.7</v>
      </c>
      <c r="G8" s="3062">
        <f t="shared" si="0"/>
        <v>1.7</v>
      </c>
      <c r="H8" s="3062" t="s">
        <v>4563</v>
      </c>
      <c r="I8" s="3062" t="s">
        <v>4584</v>
      </c>
      <c r="J8" s="3062">
        <v>76700</v>
      </c>
      <c r="K8" s="3062">
        <v>77900</v>
      </c>
      <c r="L8" s="3062">
        <v>10998.47</v>
      </c>
      <c r="M8" s="3062">
        <v>1.56</v>
      </c>
      <c r="N8" s="3061" t="s">
        <v>4585</v>
      </c>
      <c r="O8" s="3062" t="s">
        <v>4575</v>
      </c>
    </row>
    <row r="9" spans="1:18" ht="24">
      <c r="A9" s="3061" t="s">
        <v>4737</v>
      </c>
      <c r="B9" s="3062" t="s">
        <v>4442</v>
      </c>
      <c r="C9" s="3062" t="s">
        <v>4568</v>
      </c>
      <c r="D9" s="3062">
        <v>66475.23</v>
      </c>
      <c r="E9" s="3062">
        <v>132950</v>
      </c>
      <c r="F9" s="3062">
        <v>2</v>
      </c>
      <c r="G9" s="3062">
        <f t="shared" si="0"/>
        <v>2</v>
      </c>
      <c r="H9" s="3062" t="s">
        <v>4563</v>
      </c>
      <c r="I9" s="3062" t="s">
        <v>4584</v>
      </c>
      <c r="J9" s="3062">
        <v>380000</v>
      </c>
      <c r="K9" s="3062">
        <v>450000</v>
      </c>
      <c r="L9" s="3062">
        <v>33847.300000000003</v>
      </c>
      <c r="M9" s="3062">
        <v>18.420000000000002</v>
      </c>
      <c r="N9" s="3061" t="s">
        <v>4586</v>
      </c>
      <c r="O9" s="3062" t="s">
        <v>4582</v>
      </c>
      <c r="R9" s="3063" t="s">
        <v>4614</v>
      </c>
    </row>
    <row r="10" spans="1:18" ht="24">
      <c r="A10" s="3061" t="s">
        <v>4587</v>
      </c>
      <c r="B10" s="3062" t="s">
        <v>4442</v>
      </c>
      <c r="C10" s="3062" t="s">
        <v>4561</v>
      </c>
      <c r="D10" s="3062">
        <v>76571.12</v>
      </c>
      <c r="E10" s="3062">
        <v>132728</v>
      </c>
      <c r="F10" s="3062">
        <v>1.73</v>
      </c>
      <c r="G10" s="3062">
        <f t="shared" si="0"/>
        <v>1.73</v>
      </c>
      <c r="H10" s="3062" t="s">
        <v>4563</v>
      </c>
      <c r="I10" s="3062" t="s">
        <v>4584</v>
      </c>
      <c r="J10" s="3062">
        <v>165000</v>
      </c>
      <c r="K10" s="3062">
        <v>194500</v>
      </c>
      <c r="L10" s="3062">
        <v>14654.03</v>
      </c>
      <c r="M10" s="3062">
        <v>17.88</v>
      </c>
      <c r="N10" s="3061" t="s">
        <v>4588</v>
      </c>
      <c r="O10" s="3062" t="s">
        <v>4589</v>
      </c>
    </row>
    <row r="11" spans="1:18" s="3069" customFormat="1" ht="24">
      <c r="A11" s="3067" t="s">
        <v>4644</v>
      </c>
      <c r="B11" s="3068" t="s">
        <v>4442</v>
      </c>
      <c r="C11" s="3068" t="s">
        <v>4568</v>
      </c>
      <c r="D11" s="3068">
        <v>36365.370000000003</v>
      </c>
      <c r="E11" s="3068">
        <v>65458</v>
      </c>
      <c r="F11" s="3068">
        <v>1.8</v>
      </c>
      <c r="G11" s="3068">
        <f t="shared" si="0"/>
        <v>1.8</v>
      </c>
      <c r="H11" s="3068" t="s">
        <v>4563</v>
      </c>
      <c r="I11" s="3068" t="s">
        <v>4590</v>
      </c>
      <c r="J11" s="3068">
        <v>180000</v>
      </c>
      <c r="K11" s="3068">
        <v>260000</v>
      </c>
      <c r="L11" s="3068">
        <v>39720</v>
      </c>
      <c r="M11" s="3068">
        <v>44.44</v>
      </c>
      <c r="N11" s="3067" t="s">
        <v>4591</v>
      </c>
      <c r="O11" s="3068" t="s">
        <v>4582</v>
      </c>
      <c r="P11" s="3056">
        <v>0</v>
      </c>
      <c r="R11" s="3069" t="s">
        <v>4615</v>
      </c>
    </row>
    <row r="12" spans="1:18" s="3069" customFormat="1" ht="24">
      <c r="A12" s="3067" t="s">
        <v>4592</v>
      </c>
      <c r="B12" s="3068" t="s">
        <v>4442</v>
      </c>
      <c r="C12" s="3068" t="s">
        <v>4561</v>
      </c>
      <c r="D12" s="3068">
        <v>151738.6</v>
      </c>
      <c r="E12" s="3068">
        <v>152374</v>
      </c>
      <c r="F12" s="3068">
        <v>1.004</v>
      </c>
      <c r="G12" s="3068">
        <f t="shared" si="0"/>
        <v>1</v>
      </c>
      <c r="H12" s="3068" t="s">
        <v>4563</v>
      </c>
      <c r="I12" s="3068" t="s">
        <v>4593</v>
      </c>
      <c r="J12" s="3068">
        <v>460000</v>
      </c>
      <c r="K12" s="3068">
        <v>685400</v>
      </c>
      <c r="L12" s="3068">
        <v>44981</v>
      </c>
      <c r="M12" s="3068">
        <v>49</v>
      </c>
      <c r="N12" s="3067" t="s">
        <v>4594</v>
      </c>
      <c r="O12" s="3068" t="s">
        <v>4582</v>
      </c>
      <c r="P12" s="3056">
        <v>0.16</v>
      </c>
      <c r="R12" s="3069" t="s">
        <v>4677</v>
      </c>
    </row>
    <row r="13" spans="1:18" ht="24">
      <c r="A13" s="3061" t="s">
        <v>4595</v>
      </c>
      <c r="B13" s="3062" t="s">
        <v>4442</v>
      </c>
      <c r="C13" s="3062" t="s">
        <v>4561</v>
      </c>
      <c r="D13" s="3062">
        <v>132352.79999999999</v>
      </c>
      <c r="E13" s="3062">
        <v>201775</v>
      </c>
      <c r="F13" s="3062">
        <v>1.52</v>
      </c>
      <c r="G13" s="3062">
        <f t="shared" si="0"/>
        <v>1.52</v>
      </c>
      <c r="H13" s="3062" t="s">
        <v>4563</v>
      </c>
      <c r="I13" s="3062" t="s">
        <v>4596</v>
      </c>
      <c r="J13" s="3062">
        <v>365000</v>
      </c>
      <c r="K13" s="3062">
        <v>380000</v>
      </c>
      <c r="L13" s="3062">
        <v>18832.86</v>
      </c>
      <c r="M13" s="3062">
        <v>4.1100000000000003</v>
      </c>
      <c r="N13" s="3061" t="s">
        <v>4597</v>
      </c>
      <c r="O13" s="3062" t="s">
        <v>4575</v>
      </c>
      <c r="P13" s="3057"/>
    </row>
    <row r="14" spans="1:18" s="3069" customFormat="1" ht="48">
      <c r="A14" s="3067" t="s">
        <v>4598</v>
      </c>
      <c r="B14" s="3068" t="s">
        <v>4442</v>
      </c>
      <c r="C14" s="3068" t="s">
        <v>4561</v>
      </c>
      <c r="D14" s="3068">
        <v>65602.95</v>
      </c>
      <c r="E14" s="3068">
        <v>120165</v>
      </c>
      <c r="F14" s="3068">
        <v>1.83</v>
      </c>
      <c r="G14" s="3068">
        <f t="shared" si="0"/>
        <v>1.83</v>
      </c>
      <c r="H14" s="3068" t="s">
        <v>4563</v>
      </c>
      <c r="I14" s="3068" t="s">
        <v>4599</v>
      </c>
      <c r="J14" s="3068">
        <v>330000</v>
      </c>
      <c r="K14" s="3068">
        <v>495000</v>
      </c>
      <c r="L14" s="3068">
        <v>41193</v>
      </c>
      <c r="M14" s="3068">
        <v>50</v>
      </c>
      <c r="N14" s="3067" t="s">
        <v>4600</v>
      </c>
      <c r="O14" s="3068" t="s">
        <v>4589</v>
      </c>
      <c r="P14" s="3056">
        <v>0.12</v>
      </c>
      <c r="R14" s="3069" t="s">
        <v>4680</v>
      </c>
    </row>
    <row r="15" spans="1:18" ht="24">
      <c r="A15" s="3061" t="s">
        <v>4601</v>
      </c>
      <c r="B15" s="3062" t="s">
        <v>4442</v>
      </c>
      <c r="C15" s="3062" t="s">
        <v>4561</v>
      </c>
      <c r="D15" s="3062">
        <v>151051.70000000001</v>
      </c>
      <c r="E15" s="3062">
        <v>274253</v>
      </c>
      <c r="F15" s="3062" t="s">
        <v>4602</v>
      </c>
      <c r="G15" s="3062">
        <f t="shared" si="0"/>
        <v>1.82</v>
      </c>
      <c r="H15" s="3062" t="s">
        <v>4563</v>
      </c>
      <c r="I15" s="3062" t="s">
        <v>4603</v>
      </c>
      <c r="J15" s="3062">
        <v>385000</v>
      </c>
      <c r="K15" s="3062">
        <v>502000</v>
      </c>
      <c r="L15" s="3062">
        <v>18304.27</v>
      </c>
      <c r="M15" s="3062">
        <v>30.39</v>
      </c>
      <c r="N15" s="3061" t="s">
        <v>4594</v>
      </c>
      <c r="O15" s="3062" t="s">
        <v>4589</v>
      </c>
      <c r="P15" s="3057"/>
    </row>
    <row r="16" spans="1:18" s="3066" customFormat="1" ht="60">
      <c r="A16" s="3064" t="s">
        <v>4604</v>
      </c>
      <c r="B16" s="3065" t="s">
        <v>4442</v>
      </c>
      <c r="C16" s="3065" t="s">
        <v>4568</v>
      </c>
      <c r="D16" s="3065">
        <v>155132.79999999999</v>
      </c>
      <c r="E16" s="3065">
        <v>156684</v>
      </c>
      <c r="F16" s="3065">
        <v>1.009999305</v>
      </c>
      <c r="G16" s="3065">
        <f t="shared" si="0"/>
        <v>1.01</v>
      </c>
      <c r="H16" s="3065" t="s">
        <v>4563</v>
      </c>
      <c r="I16" s="3065" t="s">
        <v>4605</v>
      </c>
      <c r="J16" s="3065">
        <v>470000</v>
      </c>
      <c r="K16" s="3065">
        <v>705000</v>
      </c>
      <c r="L16" s="3065">
        <v>44995.01</v>
      </c>
      <c r="M16" s="3065">
        <v>50</v>
      </c>
      <c r="N16" s="3064" t="s">
        <v>4606</v>
      </c>
      <c r="O16" s="3065" t="s">
        <v>4566</v>
      </c>
      <c r="P16" s="3058">
        <v>0.36</v>
      </c>
      <c r="Q16" s="3064" t="s">
        <v>4613</v>
      </c>
      <c r="R16" s="3066" t="s">
        <v>4617</v>
      </c>
    </row>
    <row r="17" spans="1:15">
      <c r="A17" s="3061" t="s">
        <v>4607</v>
      </c>
      <c r="B17" s="3062" t="s">
        <v>4442</v>
      </c>
      <c r="C17" s="3062" t="s">
        <v>4568</v>
      </c>
      <c r="D17" s="3062">
        <v>41170.230000000003</v>
      </c>
      <c r="E17" s="3062">
        <v>60109</v>
      </c>
      <c r="F17" s="3062">
        <v>1.46</v>
      </c>
      <c r="G17" s="3062">
        <f t="shared" si="0"/>
        <v>1.46</v>
      </c>
      <c r="H17" s="3062" t="s">
        <v>4563</v>
      </c>
      <c r="I17" s="3062" t="s">
        <v>4608</v>
      </c>
      <c r="J17" s="3062">
        <v>88000</v>
      </c>
      <c r="K17" s="3062">
        <v>121000</v>
      </c>
      <c r="L17" s="3062">
        <v>20130.09</v>
      </c>
      <c r="M17" s="3062">
        <v>37.5</v>
      </c>
      <c r="N17" s="3061" t="s">
        <v>4609</v>
      </c>
      <c r="O17" s="3062" t="s">
        <v>4582</v>
      </c>
    </row>
    <row r="18" spans="1:15" ht="24">
      <c r="A18" s="3061" t="s">
        <v>4610</v>
      </c>
      <c r="B18" s="3062" t="s">
        <v>4442</v>
      </c>
      <c r="C18" s="3062" t="s">
        <v>4568</v>
      </c>
      <c r="D18" s="3062">
        <v>45104.74</v>
      </c>
      <c r="E18" s="3062">
        <v>112093</v>
      </c>
      <c r="F18" s="3062">
        <v>2.5</v>
      </c>
      <c r="G18" s="3062">
        <f t="shared" si="0"/>
        <v>2.4900000000000002</v>
      </c>
      <c r="H18" s="3062" t="s">
        <v>4563</v>
      </c>
      <c r="I18" s="3062" t="s">
        <v>4608</v>
      </c>
      <c r="J18" s="3062">
        <v>130000</v>
      </c>
      <c r="K18" s="3062">
        <v>193000</v>
      </c>
      <c r="L18" s="3062">
        <v>17217.84</v>
      </c>
      <c r="M18" s="3062">
        <v>48.46</v>
      </c>
      <c r="N18" s="3061" t="s">
        <v>4611</v>
      </c>
      <c r="O18" s="3062" t="s">
        <v>4582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640625" defaultRowHeight="13.2"/>
  <cols>
    <col min="1" max="1" width="9.77734375" style="796" customWidth="1"/>
    <col min="2" max="2" width="25.77734375" style="950" customWidth="1"/>
    <col min="3" max="3" width="10.33203125" style="993" customWidth="1"/>
    <col min="4" max="4" width="9.88671875" style="950" customWidth="1"/>
    <col min="5" max="5" width="9.44140625" style="796" customWidth="1"/>
    <col min="6" max="6" width="10.109375" style="950" customWidth="1"/>
    <col min="7" max="7" width="10.77734375" style="950" customWidth="1"/>
    <col min="8" max="8" width="10" style="950" customWidth="1"/>
    <col min="9" max="11" width="9.44140625" style="950" customWidth="1"/>
    <col min="12" max="12" width="9" style="950" customWidth="1"/>
    <col min="13" max="13" width="10.44140625" style="950" bestFit="1" customWidth="1"/>
    <col min="14" max="254" width="9" style="950" customWidth="1"/>
    <col min="255" max="16384" width="6.6640625" style="950"/>
  </cols>
  <sheetData>
    <row r="1" spans="1:33" ht="21">
      <c r="A1" s="238" t="s">
        <v>2444</v>
      </c>
      <c r="B1" s="1575"/>
      <c r="C1" s="1576"/>
      <c r="D1" s="1574"/>
      <c r="E1" s="318"/>
      <c r="F1" s="318"/>
      <c r="G1" s="1575"/>
      <c r="H1" s="318"/>
      <c r="I1" s="318"/>
      <c r="J1" s="318"/>
      <c r="K1" s="318" t="e">
        <f>MATCH(C1,'数据-取费表'!A6:A16,0)+5</f>
        <v>#N/A</v>
      </c>
    </row>
    <row r="2" spans="1:33" ht="18" customHeight="1">
      <c r="A2" s="243" t="s">
        <v>2312</v>
      </c>
      <c r="B2" s="246">
        <f ca="1">C32</f>
        <v>333220</v>
      </c>
      <c r="C2" s="318" t="s">
        <v>2445</v>
      </c>
      <c r="D2" s="318"/>
      <c r="E2" s="318"/>
      <c r="F2" s="318"/>
      <c r="G2" s="318"/>
      <c r="H2" s="318"/>
      <c r="I2" s="318"/>
      <c r="J2" s="318"/>
      <c r="K2" s="318"/>
    </row>
    <row r="3" spans="1:33" ht="18" customHeight="1" thickBot="1">
      <c r="A3" s="245" t="s">
        <v>2314</v>
      </c>
      <c r="B3" s="246">
        <f ca="1">ROUND(B2*10000/IF(C1="",'数据-汇总表'!E3,INDIRECT("'数据-取费表'!K"&amp;$K$1)),0)</f>
        <v>22327</v>
      </c>
      <c r="C3" s="318" t="s">
        <v>2446</v>
      </c>
      <c r="D3" s="318"/>
      <c r="E3" s="318"/>
      <c r="F3" s="318"/>
      <c r="G3" s="318"/>
      <c r="H3" s="318"/>
      <c r="I3" s="318"/>
      <c r="J3" s="318"/>
      <c r="K3" s="318"/>
    </row>
    <row r="4" spans="1:33" s="954" customFormat="1" ht="16.5" customHeight="1">
      <c r="A4" s="951" t="s">
        <v>2447</v>
      </c>
      <c r="B4" s="952"/>
      <c r="C4" s="994">
        <f ca="1">SUM(C8:K8)</f>
        <v>429622</v>
      </c>
      <c r="D4" s="952"/>
      <c r="E4" s="952"/>
      <c r="F4" s="952"/>
      <c r="G4" s="952"/>
      <c r="H4" s="952"/>
      <c r="I4" s="952"/>
      <c r="J4" s="952"/>
      <c r="K4" s="953"/>
    </row>
    <row r="5" spans="1:33" s="958" customFormat="1" ht="39.6">
      <c r="A5" s="955" t="s">
        <v>2448</v>
      </c>
      <c r="B5" s="956" t="s">
        <v>2449</v>
      </c>
      <c r="C5" s="2538" t="s">
        <v>4472</v>
      </c>
      <c r="D5" s="2538" t="s">
        <v>4713</v>
      </c>
      <c r="E5" s="2538" t="s">
        <v>3211</v>
      </c>
      <c r="F5" s="2538" t="s">
        <v>1372</v>
      </c>
      <c r="G5" s="2538" t="s">
        <v>48</v>
      </c>
      <c r="H5" s="2538" t="s">
        <v>4715</v>
      </c>
      <c r="I5" s="2538" t="s">
        <v>4525</v>
      </c>
      <c r="J5" s="2538" t="s">
        <v>4717</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14143</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f>196719+124649+35626+4220+45806+1435+17510+3657</f>
        <v>429622</v>
      </c>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3122">
        <f ca="1">'收益法（自持住宅）'!B2</f>
        <v>45806</v>
      </c>
      <c r="F8" s="3122">
        <f ca="1">'收益法（商业）'!B2</f>
        <v>1435</v>
      </c>
      <c r="G8" s="995">
        <f>'比较法-车位'!B2</f>
        <v>17510</v>
      </c>
      <c r="H8" s="3122">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c r="L13" s="973">
        <f>(5889+1375+5830)*5%</f>
        <v>654.70000000000005</v>
      </c>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f>149246.95*200*45%/10000</f>
        <v>1343.2225500000002</v>
      </c>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f>21504+645+655+1343+323</f>
        <v>24470</v>
      </c>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5800</v>
      </c>
      <c r="D23" s="323"/>
      <c r="E23" s="323"/>
      <c r="F23" s="986">
        <f>'数据-取费表'!B38</f>
        <v>0.03</v>
      </c>
      <c r="G23" s="8" t="s">
        <v>2483</v>
      </c>
      <c r="H23" s="966"/>
      <c r="I23" s="966"/>
      <c r="J23" s="966"/>
      <c r="K23" s="967"/>
      <c r="L23" s="973">
        <f>429622*45%*3%</f>
        <v>5799.8969999999999</v>
      </c>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c r="L26" s="991">
        <f>1.029*8%*0.5</f>
        <v>4.1159999999999995E-2</v>
      </c>
    </row>
    <row r="27" spans="1:33" s="991" customFormat="1" ht="13.5" customHeight="1">
      <c r="A27" s="969" t="s">
        <v>804</v>
      </c>
      <c r="B27" s="990" t="s">
        <v>2490</v>
      </c>
      <c r="C27" s="1354">
        <f ca="1">ROUND(IF('数据-取费表'!B22&lt;=1,(C21+C22+C23)*F25*'数据-取费表'!B24/2,(C21+C22+C23)*(POWER((1+F25),'数据-取费表'!B24/2)-1)),0)</f>
        <v>728</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2480</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2480</v>
      </c>
      <c r="D30" s="326"/>
      <c r="E30" s="327"/>
      <c r="F30" s="332"/>
      <c r="G30" s="138"/>
      <c r="H30" s="977"/>
      <c r="I30" s="977"/>
      <c r="J30" s="977"/>
      <c r="K30" s="978"/>
    </row>
    <row r="31" spans="1:33" s="973" customFormat="1" ht="13.5" customHeight="1" thickBot="1">
      <c r="A31" s="2544" t="s">
        <v>2496</v>
      </c>
      <c r="B31" s="1002" t="s">
        <v>2497</v>
      </c>
      <c r="C31" s="1003">
        <f ca="1">ROUND(C4*F31/(1+'数据-取费表'!C42),0)</f>
        <v>22504</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333220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3" sqref="G4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1583</v>
      </c>
      <c r="B1" s="780"/>
      <c r="C1" s="1831" t="s">
        <v>3211</v>
      </c>
      <c r="D1" s="1814" t="s">
        <v>4526</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45806</v>
      </c>
      <c r="C2" s="1839" t="s">
        <v>1510</v>
      </c>
      <c r="D2" s="1839"/>
      <c r="E2" s="1840"/>
      <c r="F2" s="1841"/>
      <c r="G2" s="1842"/>
      <c r="H2" s="1834"/>
      <c r="I2" s="1834"/>
      <c r="J2" s="1834"/>
      <c r="K2" s="1835"/>
      <c r="L2" s="1834"/>
      <c r="M2" s="1834"/>
    </row>
    <row r="3" spans="1:37" ht="18" customHeight="1" thickBot="1">
      <c r="A3" s="1843" t="s">
        <v>1511</v>
      </c>
      <c r="B3" s="1844">
        <f ca="1">IF(ISERROR(B2*10000/F43),0,ROUND(B2*10000/F43,0))</f>
        <v>14143</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80" t="s">
        <v>1397</v>
      </c>
      <c r="C6" s="1292">
        <f ca="1">ROUND(F6*F8*F7*(1-F9)/10000,0)</f>
        <v>3015</v>
      </c>
      <c r="D6" s="162" t="s">
        <v>3012</v>
      </c>
      <c r="E6" s="345" t="s">
        <v>1399</v>
      </c>
      <c r="F6" s="346">
        <f ca="1">INDIRECT("'数据-取费表'!u"&amp;$G$1)</f>
        <v>3</v>
      </c>
      <c r="G6" s="1845"/>
      <c r="H6" s="1287" t="s">
        <v>1031</v>
      </c>
      <c r="I6" s="3380" t="s">
        <v>1397</v>
      </c>
      <c r="J6" s="344">
        <f ca="1">ROUND(M6*M8*M7*(1-M9)/10000,0)</f>
        <v>0</v>
      </c>
      <c r="K6" s="162" t="s">
        <v>3011</v>
      </c>
      <c r="L6" s="345" t="s">
        <v>1399</v>
      </c>
      <c r="M6" s="346">
        <f ca="1">INDIRECT("'数据-取费表'!z"&amp;$G$1)</f>
        <v>0</v>
      </c>
    </row>
    <row r="7" spans="1:37" ht="18" customHeight="1">
      <c r="A7" s="1291"/>
      <c r="B7" s="3381"/>
      <c r="C7" s="1293"/>
      <c r="D7" s="350"/>
      <c r="E7" s="1294" t="s">
        <v>1400</v>
      </c>
      <c r="F7" s="346">
        <f ca="1">IF(INDIRECT("'数据-取费表'!ah"&amp;$G$1)="",INDIRECT("'数据-取费表'!k"&amp;$G$1),INDIRECT("'数据-取费表'!ah"&amp;$G$1))</f>
        <v>32388.770000000004</v>
      </c>
      <c r="G7" s="1845"/>
      <c r="H7" s="347"/>
      <c r="I7" s="3381"/>
      <c r="J7" s="349"/>
      <c r="K7" s="350"/>
      <c r="L7" s="345" t="s">
        <v>1400</v>
      </c>
      <c r="M7" s="346">
        <f ca="1">F7</f>
        <v>32388.770000000004</v>
      </c>
    </row>
    <row r="8" spans="1:37" ht="18" customHeight="1">
      <c r="A8" s="347"/>
      <c r="B8" s="3381"/>
      <c r="C8" s="349"/>
      <c r="D8" s="350"/>
      <c r="E8" s="345" t="s">
        <v>1401</v>
      </c>
      <c r="F8" s="346">
        <f ca="1">INDIRECT("'数据-取费表'!ai"&amp;$G$1)</f>
        <v>365</v>
      </c>
      <c r="G8" s="1845"/>
      <c r="H8" s="347"/>
      <c r="I8" s="3381"/>
      <c r="J8" s="349"/>
      <c r="K8" s="350"/>
      <c r="L8" s="345" t="s">
        <v>1401</v>
      </c>
      <c r="M8" s="346">
        <f ca="1">INDIRECT("'数据-取费表'!ai"&amp;$G$1)</f>
        <v>365</v>
      </c>
    </row>
    <row r="9" spans="1:37" ht="18" customHeight="1">
      <c r="A9" s="347"/>
      <c r="B9" s="3382"/>
      <c r="C9" s="349"/>
      <c r="D9" s="350"/>
      <c r="E9" s="345" t="s">
        <v>1402</v>
      </c>
      <c r="F9" s="355">
        <f ca="1">INDIRECT("'数据-取费表'!w"&amp;$G$1)</f>
        <v>0.15</v>
      </c>
      <c r="G9" s="1845"/>
      <c r="H9" s="347"/>
      <c r="I9" s="3382"/>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45806</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14143</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8" thickBot="1">
      <c r="A46" s="1864" t="s">
        <v>1514</v>
      </c>
      <c r="C46" s="1865">
        <f ca="1">C68-C40</f>
        <v>-85029</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8"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70</v>
      </c>
      <c r="M47" s="1832" t="str">
        <f>IF(ISNUMBER(FIND("住宅",C1)),"住宅","非住宅")</f>
        <v>住宅</v>
      </c>
      <c r="O47" s="1878" t="s">
        <v>1036</v>
      </c>
      <c r="P47" s="1879" t="s">
        <v>1522</v>
      </c>
      <c r="Q47" s="1880">
        <f ca="1">C40+J29</f>
        <v>45806</v>
      </c>
      <c r="R47" s="1880" t="s">
        <v>1523</v>
      </c>
    </row>
    <row r="48" spans="1:18" s="1836" customFormat="1" ht="40.200000000000003" thickBot="1">
      <c r="A48" s="1356" t="s">
        <v>1131</v>
      </c>
      <c r="B48" s="343" t="s">
        <v>1395</v>
      </c>
      <c r="C48" s="1811">
        <f ca="1">C49+C53+C55</f>
        <v>0</v>
      </c>
      <c r="D48" s="1358"/>
      <c r="E48" s="1359"/>
      <c r="F48" s="1177"/>
      <c r="G48" s="790"/>
      <c r="H48" s="791"/>
      <c r="I48" s="1881" t="s">
        <v>1524</v>
      </c>
      <c r="J48" s="1882" t="s">
        <v>4530</v>
      </c>
      <c r="K48" s="1883" t="s">
        <v>1525</v>
      </c>
      <c r="L48" s="1884">
        <f ca="1">INDIRECT("'数据-取费表'!f"&amp;$G$1)</f>
        <v>67.48</v>
      </c>
      <c r="O48" s="1878" t="s">
        <v>1037</v>
      </c>
      <c r="P48" s="1879" t="s">
        <v>1526</v>
      </c>
      <c r="Q48" s="1880" t="str">
        <f ca="1">J60</f>
        <v>0</v>
      </c>
      <c r="R48" s="1880" t="s">
        <v>1527</v>
      </c>
    </row>
    <row r="49" spans="1:18" s="1836" customFormat="1" ht="13.8"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8"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8"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8"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36.6"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78" t="s">
        <v>1542</v>
      </c>
      <c r="L53" s="3379"/>
      <c r="O53" s="1878" t="s">
        <v>1042</v>
      </c>
      <c r="P53" s="1879" t="s">
        <v>1543</v>
      </c>
      <c r="Q53" s="1880">
        <f ca="1">Q47+Q48</f>
        <v>45806</v>
      </c>
      <c r="R53" s="1880" t="s">
        <v>1043</v>
      </c>
    </row>
    <row r="54" spans="1:18" s="1836" customFormat="1" ht="24.6"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8"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37.200000000000003" thickTop="1" thickBot="1">
      <c r="A56" s="1172">
        <v>2</v>
      </c>
      <c r="B56" s="1173" t="s">
        <v>1408</v>
      </c>
      <c r="C56" s="274">
        <f ca="1">C13</f>
        <v>18539</v>
      </c>
      <c r="D56" s="1907"/>
      <c r="E56" s="1908"/>
      <c r="F56" s="1900"/>
      <c r="I56" s="1909" t="s">
        <v>1548</v>
      </c>
      <c r="J56" s="1910" t="s">
        <v>4433</v>
      </c>
      <c r="K56" s="1881" t="s">
        <v>1549</v>
      </c>
      <c r="L56" s="1884">
        <f ca="1">IF(L48&lt;J51,"——",L48-J53)</f>
        <v>1</v>
      </c>
      <c r="O56" s="1878" t="s">
        <v>1036</v>
      </c>
      <c r="P56" s="1879" t="s">
        <v>1522</v>
      </c>
      <c r="Q56" s="1880">
        <f ca="1">C40+J29</f>
        <v>45806</v>
      </c>
      <c r="R56" s="1880" t="s">
        <v>1523</v>
      </c>
    </row>
    <row r="57" spans="1:18" s="1836" customFormat="1" ht="24.6"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6"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6"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2"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8"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8"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45806</v>
      </c>
      <c r="R62" s="1880" t="s">
        <v>1043</v>
      </c>
    </row>
    <row r="63" spans="1:18" s="1836" customFormat="1" ht="13.8"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8"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8"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45806</v>
      </c>
      <c r="R65" s="1880" t="s">
        <v>1523</v>
      </c>
    </row>
    <row r="66" spans="1:18" s="1836" customFormat="1" ht="16.2"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24.6"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2" thickBot="1">
      <c r="A68" s="1162" t="s">
        <v>1028</v>
      </c>
      <c r="B68" s="1163" t="s">
        <v>1479</v>
      </c>
      <c r="C68" s="344">
        <f ca="1">ROUND(C67*(1-((1+F70)/(1+F68))^F69)/(F68-F70),0)</f>
        <v>-39223</v>
      </c>
      <c r="D68" s="1180" t="s">
        <v>1463</v>
      </c>
      <c r="E68" s="1165" t="s">
        <v>1464</v>
      </c>
      <c r="F68" s="355">
        <f ca="1">F40</f>
        <v>4.4999999999999998E-2</v>
      </c>
      <c r="O68" s="1888" t="s">
        <v>1039</v>
      </c>
      <c r="P68" s="1927" t="s">
        <v>1577</v>
      </c>
      <c r="Q68" s="1880">
        <f ca="1">ROUND(Q69-Q70*Q71,0)</f>
        <v>602</v>
      </c>
      <c r="R68" s="1880" t="s">
        <v>1047</v>
      </c>
    </row>
    <row r="69" spans="1:18" s="1836" customFormat="1" ht="13.8"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8" thickBot="1">
      <c r="A70" s="1169"/>
      <c r="B70" s="1170"/>
      <c r="C70" s="353"/>
      <c r="D70" s="1181"/>
      <c r="E70" s="1165" t="s">
        <v>1471</v>
      </c>
      <c r="F70" s="1271"/>
      <c r="O70" s="1888" t="s">
        <v>1045</v>
      </c>
      <c r="P70" s="1927" t="s">
        <v>1579</v>
      </c>
      <c r="Q70" s="1880">
        <f ca="1">C13</f>
        <v>18539</v>
      </c>
      <c r="R70" s="1880" t="s">
        <v>1523</v>
      </c>
    </row>
    <row r="71" spans="1:18" s="1836" customFormat="1" ht="13.8" thickBot="1">
      <c r="A71" s="1186" t="s">
        <v>1029</v>
      </c>
      <c r="B71" s="1187" t="s">
        <v>1481</v>
      </c>
      <c r="C71" s="380">
        <f ca="1">ROUND(C68*10000/F71,0)</f>
        <v>-12110</v>
      </c>
      <c r="D71" s="1188" t="s">
        <v>1482</v>
      </c>
      <c r="E71" s="1189" t="s">
        <v>1483</v>
      </c>
      <c r="F71" s="383">
        <f ca="1">F43</f>
        <v>32388.770000000004</v>
      </c>
      <c r="O71" s="1888" t="s">
        <v>1046</v>
      </c>
      <c r="P71" s="1927" t="s">
        <v>1580</v>
      </c>
      <c r="Q71" s="1891">
        <f ca="1">C76</f>
        <v>8.5000000000000006E-2</v>
      </c>
      <c r="R71" s="1880"/>
    </row>
    <row r="72" spans="1:18" s="1836" customFormat="1" ht="13.8" thickBot="1">
      <c r="B72" s="794"/>
      <c r="C72" s="794"/>
      <c r="O72" s="1888" t="s">
        <v>1040</v>
      </c>
      <c r="P72" s="1879" t="s">
        <v>1558</v>
      </c>
      <c r="Q72" s="1891">
        <f>L52</f>
        <v>0</v>
      </c>
      <c r="R72" s="1880"/>
    </row>
    <row r="73" spans="1:18" ht="16.2" thickBot="1">
      <c r="A73" s="1836"/>
      <c r="B73" s="794"/>
      <c r="C73" s="794"/>
      <c r="D73" s="1836"/>
      <c r="E73" s="1836"/>
      <c r="F73" s="1836"/>
      <c r="O73" s="1888" t="s">
        <v>1041</v>
      </c>
      <c r="P73" s="1879" t="s">
        <v>1561</v>
      </c>
      <c r="Q73" s="1880" t="e">
        <f ca="1">L58</f>
        <v>#DIV/0!</v>
      </c>
      <c r="R73" s="1880" t="s">
        <v>1562</v>
      </c>
    </row>
    <row r="74" spans="1:18" ht="13.8"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8" thickBot="1">
      <c r="A75" s="1836"/>
      <c r="B75" s="384" t="s">
        <v>1500</v>
      </c>
      <c r="C75" s="385">
        <f ca="1">ROUND(C13*C76,0)</f>
        <v>1576</v>
      </c>
      <c r="D75" s="1836"/>
      <c r="E75" s="1836"/>
      <c r="F75" s="1836"/>
      <c r="K75" s="1862"/>
      <c r="L75" s="1836"/>
      <c r="O75" s="1878" t="s">
        <v>1042</v>
      </c>
      <c r="P75" s="1879" t="s">
        <v>1543</v>
      </c>
      <c r="Q75" s="1880">
        <f ca="1">Q65+Q66</f>
        <v>45806</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0.59499999999999997</v>
      </c>
    </row>
    <row r="83" spans="2:3">
      <c r="B83" s="315" t="s">
        <v>1508</v>
      </c>
      <c r="C83" s="316">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8" customWidth="1"/>
    <col min="2" max="16384" width="9" style="1938"/>
  </cols>
  <sheetData>
    <row r="1" spans="1:1" ht="22.8">
      <c r="A1" s="1937" t="s">
        <v>1605</v>
      </c>
    </row>
    <row r="2" spans="1:1">
      <c r="A2" s="1939"/>
    </row>
    <row r="3" spans="1:1" ht="17.399999999999999">
      <c r="A3" s="1940" t="str">
        <f>项目基本情况!B5&amp;"："</f>
        <v>北京万龙华开房地产开发有限公司：</v>
      </c>
    </row>
    <row r="4" spans="1:1" ht="34.799999999999997">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7.399999999999999">
      <c r="A5" s="1942" t="s">
        <v>1606</v>
      </c>
    </row>
    <row r="6" spans="1:1" ht="17.399999999999999">
      <c r="A6" s="1943" t="s">
        <v>1607</v>
      </c>
    </row>
    <row r="7" spans="1:1" ht="87">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4.6">
      <c r="A8" s="1944" t="s">
        <v>1608</v>
      </c>
    </row>
    <row r="9" spans="1:1" ht="17.399999999999999">
      <c r="A9" s="1943" t="s">
        <v>1609</v>
      </c>
    </row>
    <row r="10" spans="1:1" ht="104.4">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2">
      <c r="A11" s="1944" t="s">
        <v>1610</v>
      </c>
    </row>
    <row r="12" spans="1:1" ht="17.399999999999999">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7.399999999999999">
      <c r="A14" s="1946" t="s">
        <v>1612</v>
      </c>
    </row>
    <row r="15" spans="1:1" ht="17.399999999999999">
      <c r="A15" s="1947" t="str">
        <f>TEXT(项目基本情况!D3,"yyyy年m月d日;;")&amp;IF(项目基本情况!D3=项目基本情况!B3,"（评估专业人员实地查勘之日）","")</f>
        <v>2020年2月17日（评估专业人员实地查勘之日）</v>
      </c>
    </row>
    <row r="16" spans="1:1" ht="17.399999999999999">
      <c r="A16" s="1946" t="s">
        <v>1613</v>
      </c>
    </row>
    <row r="17" spans="1:1" ht="69.599999999999994">
      <c r="A17" s="1941" t="s">
        <v>1614</v>
      </c>
    </row>
    <row r="18" spans="1:1" ht="87">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1" t="str">
        <f>IF(项目基本情况!B9="房地产市场价值","——",IF(项目基本情况!E9="——","",定义!C57))</f>
        <v/>
      </c>
    </row>
    <row r="23" spans="1:1" ht="17.399999999999999">
      <c r="A23" s="1946" t="s">
        <v>1603</v>
      </c>
    </row>
    <row r="24" spans="1:1" ht="17.399999999999999">
      <c r="A24" s="1948" t="str">
        <f>"本次评估采用的主估价方法为"&amp;结果表!K4&amp;"和"&amp;结果表!L4&amp;"。"</f>
        <v>本次评估采用的主估价方法为成本法和假设开发法。</v>
      </c>
    </row>
    <row r="25" spans="1:1" ht="17.399999999999999">
      <c r="A25" s="1948"/>
    </row>
    <row r="26" spans="1:1" ht="17.399999999999999">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9" zoomScale="90" zoomScaleNormal="90" zoomScaleSheetLayoutView="90" workbookViewId="0">
      <selection activeCell="F44" sqref="F44"/>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1583</v>
      </c>
      <c r="B1" s="780"/>
      <c r="C1" s="1831" t="s">
        <v>1372</v>
      </c>
      <c r="D1" s="1814" t="s">
        <v>4526</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80" t="s">
        <v>1397</v>
      </c>
      <c r="C6" s="1292">
        <f ca="1">ROUND(F6*F8*F7*(1-F9)/10000,0)</f>
        <v>120</v>
      </c>
      <c r="D6" s="162" t="s">
        <v>3012</v>
      </c>
      <c r="E6" s="345" t="s">
        <v>1399</v>
      </c>
      <c r="F6" s="346">
        <f ca="1">INDIRECT("'数据-取费表'!u"&amp;$G$1)</f>
        <v>6</v>
      </c>
      <c r="G6" s="1845"/>
      <c r="H6" s="1287" t="s">
        <v>1031</v>
      </c>
      <c r="I6" s="3380" t="s">
        <v>1397</v>
      </c>
      <c r="J6" s="344">
        <f ca="1">ROUND(M6*M8*M7*(1-M9)/10000,0)</f>
        <v>0</v>
      </c>
      <c r="K6" s="162" t="s">
        <v>3011</v>
      </c>
      <c r="L6" s="345" t="s">
        <v>1399</v>
      </c>
      <c r="M6" s="346">
        <f ca="1">INDIRECT("'数据-取费表'!z"&amp;$G$1)</f>
        <v>0</v>
      </c>
    </row>
    <row r="7" spans="1:37" ht="18" customHeight="1">
      <c r="A7" s="1291"/>
      <c r="B7" s="3381"/>
      <c r="C7" s="1293"/>
      <c r="D7" s="350"/>
      <c r="E7" s="2958" t="s">
        <v>1400</v>
      </c>
      <c r="F7" s="346">
        <f ca="1">IF(INDIRECT("'数据-取费表'!ah"&amp;$G$1)="",INDIRECT("'数据-取费表'!k"&amp;$G$1),INDIRECT("'数据-取费表'!ah"&amp;$G$1))</f>
        <v>645.96</v>
      </c>
      <c r="G7" s="1845"/>
      <c r="H7" s="347"/>
      <c r="I7" s="3381"/>
      <c r="J7" s="349"/>
      <c r="K7" s="350"/>
      <c r="L7" s="345" t="s">
        <v>1400</v>
      </c>
      <c r="M7" s="346">
        <f ca="1">F7</f>
        <v>645.96</v>
      </c>
    </row>
    <row r="8" spans="1:37" ht="18" customHeight="1">
      <c r="A8" s="347"/>
      <c r="B8" s="3381"/>
      <c r="C8" s="349"/>
      <c r="D8" s="350"/>
      <c r="E8" s="345" t="s">
        <v>1401</v>
      </c>
      <c r="F8" s="346">
        <f ca="1">INDIRECT("'数据-取费表'!ai"&amp;$G$1)</f>
        <v>365</v>
      </c>
      <c r="G8" s="1845"/>
      <c r="H8" s="347"/>
      <c r="I8" s="3381"/>
      <c r="J8" s="349"/>
      <c r="K8" s="350"/>
      <c r="L8" s="345" t="s">
        <v>1401</v>
      </c>
      <c r="M8" s="346">
        <f ca="1">INDIRECT("'数据-取费表'!ai"&amp;$G$1)</f>
        <v>365</v>
      </c>
    </row>
    <row r="9" spans="1:37" ht="18" customHeight="1">
      <c r="A9" s="347"/>
      <c r="B9" s="3382"/>
      <c r="C9" s="349"/>
      <c r="D9" s="350"/>
      <c r="E9" s="345" t="s">
        <v>1402</v>
      </c>
      <c r="F9" s="355">
        <f ca="1">INDIRECT("'数据-取费表'!w"&amp;$G$1)</f>
        <v>0.15</v>
      </c>
      <c r="G9" s="1845"/>
      <c r="H9" s="347"/>
      <c r="I9" s="3382"/>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8"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8"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40.200000000000003"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37.46</v>
      </c>
      <c r="O48" s="1878" t="s">
        <v>1037</v>
      </c>
      <c r="P48" s="1879" t="s">
        <v>1526</v>
      </c>
      <c r="Q48" s="1880" t="str">
        <f ca="1">J60</f>
        <v>0</v>
      </c>
      <c r="R48" s="1880" t="s">
        <v>1527</v>
      </c>
    </row>
    <row r="49" spans="1:18" s="1836" customFormat="1" ht="13.8"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8"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8"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8"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36.6"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78" t="s">
        <v>1542</v>
      </c>
      <c r="L53" s="3379"/>
      <c r="O53" s="1878" t="s">
        <v>1042</v>
      </c>
      <c r="P53" s="1879" t="s">
        <v>1543</v>
      </c>
      <c r="Q53" s="1880">
        <f ca="1">Q47+Q48</f>
        <v>1435</v>
      </c>
      <c r="R53" s="1880" t="s">
        <v>1043</v>
      </c>
    </row>
    <row r="54" spans="1:18" s="1836" customFormat="1" ht="24.6"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8"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37.200000000000003" thickTop="1" thickBot="1">
      <c r="A56" s="1172">
        <v>2</v>
      </c>
      <c r="B56" s="1173" t="s">
        <v>1408</v>
      </c>
      <c r="C56" s="274">
        <f ca="1">C13</f>
        <v>341</v>
      </c>
      <c r="D56" s="1907"/>
      <c r="E56" s="1908"/>
      <c r="F56" s="1900"/>
      <c r="I56" s="1909" t="s">
        <v>1548</v>
      </c>
      <c r="J56" s="1910" t="s">
        <v>4433</v>
      </c>
      <c r="K56" s="1881" t="s">
        <v>1549</v>
      </c>
      <c r="L56" s="1884" t="str">
        <f ca="1">IF(L48&lt;J51,"——",L48-J53)</f>
        <v>——</v>
      </c>
      <c r="O56" s="1878" t="s">
        <v>1036</v>
      </c>
      <c r="P56" s="1879" t="s">
        <v>1522</v>
      </c>
      <c r="Q56" s="1880">
        <f ca="1">C40+J29</f>
        <v>1435</v>
      </c>
      <c r="R56" s="1880" t="s">
        <v>1523</v>
      </c>
    </row>
    <row r="57" spans="1:18" s="1836" customFormat="1" ht="24.6"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6"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6"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2"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8"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8"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8"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8"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8"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2"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24.6"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2"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8"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8" thickBot="1">
      <c r="A70" s="1169"/>
      <c r="B70" s="1170"/>
      <c r="C70" s="353"/>
      <c r="D70" s="1181"/>
      <c r="E70" s="1165" t="s">
        <v>1471</v>
      </c>
      <c r="F70" s="1271"/>
      <c r="O70" s="1888" t="s">
        <v>1045</v>
      </c>
      <c r="P70" s="1927" t="s">
        <v>1579</v>
      </c>
      <c r="Q70" s="1880">
        <f ca="1">C13</f>
        <v>341</v>
      </c>
      <c r="R70" s="1880" t="s">
        <v>1523</v>
      </c>
    </row>
    <row r="71" spans="1:18" s="1836" customFormat="1" ht="13.8"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8" thickBot="1">
      <c r="B72" s="794"/>
      <c r="C72" s="794"/>
      <c r="O72" s="1888" t="s">
        <v>1040</v>
      </c>
      <c r="P72" s="1879" t="s">
        <v>1558</v>
      </c>
      <c r="Q72" s="1891">
        <f>L52</f>
        <v>0</v>
      </c>
      <c r="R72" s="1880"/>
    </row>
    <row r="73" spans="1:18" ht="16.2" thickBot="1">
      <c r="A73" s="1836"/>
      <c r="B73" s="794"/>
      <c r="C73" s="794"/>
      <c r="D73" s="1836"/>
      <c r="E73" s="1836"/>
      <c r="F73" s="1836"/>
      <c r="O73" s="1888" t="s">
        <v>1041</v>
      </c>
      <c r="P73" s="1879" t="s">
        <v>1561</v>
      </c>
      <c r="Q73" s="1880" t="e">
        <f ca="1">L58</f>
        <v>#DIV/0!</v>
      </c>
      <c r="R73" s="1880" t="s">
        <v>1562</v>
      </c>
    </row>
    <row r="74" spans="1:18" ht="13.8"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8"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80" t="s">
        <v>1397</v>
      </c>
      <c r="C6" s="1292" t="e">
        <f ca="1">ROUND(F6*F8*F7*(1-F9),0)</f>
        <v>#N/A</v>
      </c>
      <c r="D6" s="162" t="s">
        <v>3009</v>
      </c>
      <c r="E6" s="345" t="s">
        <v>1399</v>
      </c>
      <c r="F6" s="346" t="e">
        <f ca="1">INDIRECT("'数据-取费表'!u"&amp;$G$1)</f>
        <v>#N/A</v>
      </c>
      <c r="G6" s="1845"/>
      <c r="H6" s="1287" t="s">
        <v>1031</v>
      </c>
      <c r="I6" s="3380" t="s">
        <v>1397</v>
      </c>
      <c r="J6" s="344" t="e">
        <f ca="1">ROUND(M6*M8*M7*(1-M9),0)</f>
        <v>#N/A</v>
      </c>
      <c r="K6" s="1828" t="s">
        <v>3010</v>
      </c>
      <c r="L6" s="345" t="s">
        <v>1399</v>
      </c>
      <c r="M6" s="346" t="e">
        <f ca="1">INDIRECT("'数据-取费表'!z"&amp;$G$1)</f>
        <v>#N/A</v>
      </c>
    </row>
    <row r="7" spans="1:37" ht="18" customHeight="1">
      <c r="A7" s="1291"/>
      <c r="B7" s="3381"/>
      <c r="C7" s="1293"/>
      <c r="D7" s="350"/>
      <c r="E7" s="1294" t="s">
        <v>1400</v>
      </c>
      <c r="F7" s="346" t="e">
        <f ca="1">IF(INDIRECT("'数据-取费表'!ah"&amp;$G$1)="",INDIRECT("'数据-取费表'!k"&amp;$G$1),INDIRECT("'数据-取费表'!ah"&amp;$G$1))</f>
        <v>#N/A</v>
      </c>
      <c r="G7" s="1845"/>
      <c r="H7" s="347"/>
      <c r="I7" s="3381"/>
      <c r="J7" s="349"/>
      <c r="K7" s="350"/>
      <c r="L7" s="345" t="s">
        <v>1400</v>
      </c>
      <c r="M7" s="346" t="e">
        <f ca="1">F7</f>
        <v>#N/A</v>
      </c>
    </row>
    <row r="8" spans="1:37" ht="18" customHeight="1">
      <c r="A8" s="347"/>
      <c r="B8" s="3381"/>
      <c r="C8" s="349"/>
      <c r="D8" s="350"/>
      <c r="E8" s="345" t="s">
        <v>1401</v>
      </c>
      <c r="F8" s="346" t="e">
        <f ca="1">INDIRECT("'数据-取费表'!ai"&amp;$G$1)</f>
        <v>#N/A</v>
      </c>
      <c r="G8" s="1845"/>
      <c r="H8" s="347"/>
      <c r="I8" s="3381"/>
      <c r="J8" s="349"/>
      <c r="K8" s="350"/>
      <c r="L8" s="345" t="s">
        <v>1401</v>
      </c>
      <c r="M8" s="346" t="e">
        <f ca="1">INDIRECT("'数据-取费表'!ai"&amp;$G$1)</f>
        <v>#N/A</v>
      </c>
    </row>
    <row r="9" spans="1:37" ht="18" customHeight="1">
      <c r="A9" s="347"/>
      <c r="B9" s="3382"/>
      <c r="C9" s="349"/>
      <c r="D9" s="350"/>
      <c r="E9" s="345" t="s">
        <v>1402</v>
      </c>
      <c r="F9" s="355" t="e">
        <f ca="1">INDIRECT("'数据-取费表'!w"&amp;$G$1)</f>
        <v>#N/A</v>
      </c>
      <c r="G9" s="1845"/>
      <c r="H9" s="347"/>
      <c r="I9" s="3382"/>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8"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8"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40.200000000000003"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8"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8"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8"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8"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78" t="s">
        <v>1542</v>
      </c>
      <c r="L53" s="3379"/>
      <c r="O53" s="1878" t="s">
        <v>1042</v>
      </c>
      <c r="P53" s="1879" t="s">
        <v>1543</v>
      </c>
      <c r="Q53" s="1880" t="e">
        <f ca="1">Q47+Q48</f>
        <v>#N/A</v>
      </c>
      <c r="R53" s="1880" t="s">
        <v>1043</v>
      </c>
    </row>
    <row r="54" spans="1:18" s="1836" customFormat="1" ht="13.8"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8"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6"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6"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6"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2"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8"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8"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8"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8"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8"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2"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24.6"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2"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8"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8" thickBot="1">
      <c r="A70" s="1169"/>
      <c r="B70" s="1170"/>
      <c r="C70" s="353"/>
      <c r="D70" s="1181"/>
      <c r="E70" s="1165" t="s">
        <v>1471</v>
      </c>
      <c r="F70" s="1271" t="e">
        <f ca="1">F42</f>
        <v>#N/A</v>
      </c>
      <c r="O70" s="1888" t="s">
        <v>1045</v>
      </c>
      <c r="P70" s="1927" t="s">
        <v>1579</v>
      </c>
      <c r="Q70" s="1880" t="e">
        <f ca="1">C13</f>
        <v>#N/A</v>
      </c>
      <c r="R70" s="1880" t="s">
        <v>1523</v>
      </c>
    </row>
    <row r="71" spans="1:18" s="1836" customFormat="1" ht="13.8"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8" thickBot="1">
      <c r="B72" s="794"/>
      <c r="C72" s="794"/>
      <c r="O72" s="1888" t="s">
        <v>1040</v>
      </c>
      <c r="P72" s="1879" t="s">
        <v>1558</v>
      </c>
      <c r="Q72" s="1891">
        <f>L52</f>
        <v>0</v>
      </c>
      <c r="R72" s="1880"/>
    </row>
    <row r="73" spans="1:18" ht="16.2" thickBot="1">
      <c r="A73" s="1836"/>
      <c r="B73" s="794"/>
      <c r="C73" s="794"/>
      <c r="D73" s="1836"/>
      <c r="E73" s="1836"/>
      <c r="F73" s="1836"/>
      <c r="O73" s="1888" t="s">
        <v>1041</v>
      </c>
      <c r="P73" s="1879" t="s">
        <v>1561</v>
      </c>
      <c r="Q73" s="1880" t="e">
        <f ca="1">L58</f>
        <v>#N/A</v>
      </c>
      <c r="R73" s="1880" t="s">
        <v>1562</v>
      </c>
    </row>
    <row r="74" spans="1:18" ht="13.8"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8"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90" zoomScaleNormal="93" zoomScaleSheetLayoutView="90" workbookViewId="0">
      <selection activeCell="F3" sqref="F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6.7773437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3" customFormat="1" ht="28.5" customHeight="1" thickBot="1">
      <c r="A1" s="1612" t="s">
        <v>2689</v>
      </c>
      <c r="B1" s="1613" t="s">
        <v>3080</v>
      </c>
      <c r="C1" s="1614" t="s">
        <v>2512</v>
      </c>
      <c r="D1" s="1615" t="s">
        <v>48</v>
      </c>
      <c r="E1" s="1616"/>
      <c r="F1" s="2568" t="s">
        <v>4542</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4.4">
      <c r="A4" s="399" t="s">
        <v>2627</v>
      </c>
      <c r="B4" s="400"/>
      <c r="C4" s="3339" t="s">
        <v>2628</v>
      </c>
      <c r="D4" s="3352"/>
      <c r="E4" s="3353" t="s">
        <v>2629</v>
      </c>
      <c r="F4" s="3354"/>
      <c r="G4" s="3339" t="s">
        <v>2630</v>
      </c>
      <c r="H4" s="3352"/>
      <c r="I4" s="3339" t="s">
        <v>2631</v>
      </c>
      <c r="J4" s="3352"/>
      <c r="K4" s="608" t="s">
        <v>2632</v>
      </c>
      <c r="L4" s="1126"/>
      <c r="M4" s="1127"/>
      <c r="N4" s="1127"/>
      <c r="O4" s="1127"/>
      <c r="P4" s="3355" t="s">
        <v>2633</v>
      </c>
      <c r="Q4" s="3356"/>
      <c r="R4" s="3361" t="s">
        <v>2629</v>
      </c>
      <c r="S4" s="3362"/>
      <c r="T4" s="3361" t="s">
        <v>2630</v>
      </c>
      <c r="U4" s="3362"/>
      <c r="V4" s="3348" t="s">
        <v>2631</v>
      </c>
      <c r="W4" s="3348"/>
      <c r="X4" s="1807"/>
      <c r="Y4" s="3361" t="s">
        <v>2633</v>
      </c>
      <c r="Z4" s="3362"/>
      <c r="AA4" s="3349" t="s">
        <v>2629</v>
      </c>
      <c r="AB4" s="3350" t="s">
        <v>2630</v>
      </c>
      <c r="AC4" s="3349" t="s">
        <v>2631</v>
      </c>
    </row>
    <row r="5" spans="1:29">
      <c r="A5" s="402"/>
      <c r="B5" s="403"/>
      <c r="C5" s="3369" t="s">
        <v>2524</v>
      </c>
      <c r="D5" s="3370"/>
      <c r="E5" s="3376" t="str">
        <f>车库案例!A2</f>
        <v>建邦·顺颐府</v>
      </c>
      <c r="F5" s="3377"/>
      <c r="G5" s="3369" t="str">
        <f>车库案例!A7</f>
        <v>诺德阅墅</v>
      </c>
      <c r="H5" s="3370"/>
      <c r="I5" s="3369" t="str">
        <f>车库案例!A22</f>
        <v>京基鹭府</v>
      </c>
      <c r="J5" s="3370"/>
      <c r="K5" s="608"/>
      <c r="L5" s="1126"/>
      <c r="M5" s="1127"/>
      <c r="N5" s="1127"/>
      <c r="O5" s="1127"/>
      <c r="P5" s="3357"/>
      <c r="Q5" s="3358"/>
      <c r="R5" s="3363"/>
      <c r="S5" s="3364"/>
      <c r="T5" s="3363"/>
      <c r="U5" s="3364"/>
      <c r="V5" s="3348"/>
      <c r="W5" s="3348"/>
      <c r="X5" s="1807"/>
      <c r="Y5" s="3363"/>
      <c r="Z5" s="3364"/>
      <c r="AA5" s="3350"/>
      <c r="AB5" s="3350"/>
      <c r="AC5" s="3350"/>
    </row>
    <row r="6" spans="1:29" ht="15" thickBot="1">
      <c r="A6" s="404"/>
      <c r="B6" s="405"/>
      <c r="C6" s="3367" t="s">
        <v>2528</v>
      </c>
      <c r="D6" s="3368"/>
      <c r="E6" s="3374" t="s">
        <v>2528</v>
      </c>
      <c r="F6" s="3375"/>
      <c r="G6" s="3367" t="s">
        <v>2528</v>
      </c>
      <c r="H6" s="3368"/>
      <c r="I6" s="3367" t="s">
        <v>2528</v>
      </c>
      <c r="J6" s="3368"/>
      <c r="K6" s="608" t="s">
        <v>2529</v>
      </c>
      <c r="L6" s="1126"/>
      <c r="M6" s="1127"/>
      <c r="N6" s="1127"/>
      <c r="O6" s="1127"/>
      <c r="P6" s="3359"/>
      <c r="Q6" s="3360"/>
      <c r="R6" s="3363"/>
      <c r="S6" s="3364"/>
      <c r="T6" s="3365"/>
      <c r="U6" s="3366"/>
      <c r="V6" s="3348"/>
      <c r="W6" s="3348"/>
      <c r="X6" s="1807"/>
      <c r="Y6" s="3365"/>
      <c r="Z6" s="3366"/>
      <c r="AA6" s="3351"/>
      <c r="AB6" s="3351"/>
      <c r="AC6" s="3351"/>
    </row>
    <row r="7" spans="1:29" s="115" customFormat="1" ht="1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71" t="s">
        <v>2531</v>
      </c>
      <c r="Q7" s="3373"/>
      <c r="R7" s="768" t="s">
        <v>17</v>
      </c>
      <c r="S7" s="769">
        <f t="shared" ref="S7:S14" si="0">F7</f>
        <v>100</v>
      </c>
      <c r="T7" s="768" t="s">
        <v>17</v>
      </c>
      <c r="U7" s="769">
        <f t="shared" ref="U7:U14" si="1">H7</f>
        <v>100</v>
      </c>
      <c r="V7" s="768" t="s">
        <v>17</v>
      </c>
      <c r="W7" s="769">
        <f t="shared" ref="W7:W14" si="2">J7</f>
        <v>100</v>
      </c>
      <c r="X7" s="770"/>
      <c r="Y7" s="3371" t="s">
        <v>2531</v>
      </c>
      <c r="Z7" s="3372"/>
      <c r="AA7" s="771">
        <f>D7/F7</f>
        <v>1</v>
      </c>
      <c r="AB7" s="771">
        <f>D7/H7</f>
        <v>1</v>
      </c>
      <c r="AC7" s="771">
        <f>D7/J7</f>
        <v>1</v>
      </c>
    </row>
    <row r="8" spans="1:29" s="115" customFormat="1" ht="15" thickBot="1">
      <c r="A8" s="406" t="s">
        <v>2532</v>
      </c>
      <c r="B8" s="407"/>
      <c r="C8" s="412" t="s">
        <v>2634</v>
      </c>
      <c r="D8" s="409">
        <v>100</v>
      </c>
      <c r="E8" s="412" t="s">
        <v>4640</v>
      </c>
      <c r="F8" s="411">
        <f>SUMIF(51:51,E8,52:52)-SUMIF(51:51,C8,52:52)+100</f>
        <v>100</v>
      </c>
      <c r="G8" s="412" t="s">
        <v>4640</v>
      </c>
      <c r="H8" s="409">
        <f>SUMIF(51:51,G8,52:52)-SUMIF(51:51,C8,52:52)+100</f>
        <v>100</v>
      </c>
      <c r="I8" s="412" t="s">
        <v>4640</v>
      </c>
      <c r="J8" s="409">
        <f>SUMIF(51:51,I8,52:52)-SUMIF(51:51,C8,52:52)+100</f>
        <v>100</v>
      </c>
      <c r="K8" s="609"/>
      <c r="L8" s="1128"/>
      <c r="M8" s="1129"/>
      <c r="N8" s="1129"/>
      <c r="O8" s="1129"/>
      <c r="P8" s="3371" t="s">
        <v>2534</v>
      </c>
      <c r="Q8" s="3372"/>
      <c r="R8" s="768" t="s">
        <v>17</v>
      </c>
      <c r="S8" s="769">
        <f t="shared" si="0"/>
        <v>100</v>
      </c>
      <c r="T8" s="768" t="s">
        <v>17</v>
      </c>
      <c r="U8" s="769">
        <f t="shared" si="1"/>
        <v>100</v>
      </c>
      <c r="V8" s="768" t="s">
        <v>17</v>
      </c>
      <c r="W8" s="769">
        <f t="shared" si="2"/>
        <v>100</v>
      </c>
      <c r="X8" s="770"/>
      <c r="Y8" s="3371" t="s">
        <v>2534</v>
      </c>
      <c r="Z8" s="3372"/>
      <c r="AA8" s="771">
        <f t="shared" ref="AA8:AA36" si="3">D8/F8</f>
        <v>1</v>
      </c>
      <c r="AB8" s="771">
        <f t="shared" ref="AB8:AB36" si="4">D8/H8</f>
        <v>1</v>
      </c>
      <c r="AC8" s="771">
        <f t="shared" ref="AC8:AC36" si="5">D8/J8</f>
        <v>1</v>
      </c>
    </row>
    <row r="9" spans="1:29" s="115" customFormat="1" ht="14.4">
      <c r="A9" s="67" t="s">
        <v>2535</v>
      </c>
      <c r="B9" s="638" t="s">
        <v>2536</v>
      </c>
      <c r="C9" s="3095" t="s">
        <v>4689</v>
      </c>
      <c r="D9" s="133">
        <v>100</v>
      </c>
      <c r="E9" s="417" t="s">
        <v>3190</v>
      </c>
      <c r="F9" s="133">
        <f>SUMIF(53:53,E9,54:54)-SUMIF(53:53,C9,54:54)+100</f>
        <v>100</v>
      </c>
      <c r="G9" s="415" t="s">
        <v>3190</v>
      </c>
      <c r="H9" s="133">
        <f>SUMIF(53:53,G9,54:54)-SUMIF(53:53,C9,54:54)+100</f>
        <v>100</v>
      </c>
      <c r="I9" s="415" t="s">
        <v>3190</v>
      </c>
      <c r="J9" s="133">
        <f>SUMIF(53:53,I9,54:54)-SUMIF(53:53,C9,54:54)+100</f>
        <v>100</v>
      </c>
      <c r="K9" s="609"/>
      <c r="L9" s="1128"/>
      <c r="M9" s="1129"/>
      <c r="N9" s="1129"/>
      <c r="O9" s="1129"/>
      <c r="P9" s="3342" t="s">
        <v>2537</v>
      </c>
      <c r="Q9" s="1789" t="str">
        <f t="shared" ref="Q9:Q14" si="6">B9</f>
        <v>用途</v>
      </c>
      <c r="R9" s="768" t="s">
        <v>17</v>
      </c>
      <c r="S9" s="769">
        <f t="shared" si="0"/>
        <v>100</v>
      </c>
      <c r="T9" s="768" t="s">
        <v>17</v>
      </c>
      <c r="U9" s="769">
        <f t="shared" si="1"/>
        <v>100</v>
      </c>
      <c r="V9" s="768" t="s">
        <v>17</v>
      </c>
      <c r="W9" s="769">
        <f t="shared" si="2"/>
        <v>100</v>
      </c>
      <c r="X9" s="770"/>
      <c r="Y9" s="3170" t="s">
        <v>2538</v>
      </c>
      <c r="Z9" s="55" t="str">
        <f t="shared" ref="Z9:Z14" si="7">Q9</f>
        <v>用途</v>
      </c>
      <c r="AA9" s="771">
        <f t="shared" si="3"/>
        <v>1</v>
      </c>
      <c r="AB9" s="771">
        <f t="shared" si="4"/>
        <v>1</v>
      </c>
      <c r="AC9" s="771">
        <f t="shared" si="5"/>
        <v>1</v>
      </c>
    </row>
    <row r="10" spans="1:29" s="425" customFormat="1" ht="29.4" thickBot="1">
      <c r="A10" s="639"/>
      <c r="B10" s="640" t="s">
        <v>2539</v>
      </c>
      <c r="C10" s="421" t="s">
        <v>4690</v>
      </c>
      <c r="D10" s="134">
        <v>100</v>
      </c>
      <c r="E10" s="421" t="s">
        <v>4690</v>
      </c>
      <c r="F10" s="134">
        <f>SUMIF(55:55,E10,56:56)-SUMIF(55:55,C10,56:56)+100</f>
        <v>100</v>
      </c>
      <c r="G10" s="421" t="s">
        <v>4690</v>
      </c>
      <c r="H10" s="134">
        <f>SUMIF(55:55,G10,56:56)-SUMIF(55:55,C10,56:56)+100</f>
        <v>100</v>
      </c>
      <c r="I10" s="421" t="s">
        <v>4690</v>
      </c>
      <c r="J10" s="134">
        <f>SUMIF(55:55,I10,56:56)-SUMIF(55:55,C10,56:56)+100</f>
        <v>100</v>
      </c>
      <c r="K10" s="610">
        <v>3</v>
      </c>
      <c r="L10" s="1131"/>
      <c r="M10" s="1132"/>
      <c r="N10" s="1132"/>
      <c r="O10" s="1132"/>
      <c r="P10" s="3342"/>
      <c r="Q10" s="1789" t="str">
        <f t="shared" si="6"/>
        <v>土地使用年限（年）</v>
      </c>
      <c r="R10" s="768" t="s">
        <v>17</v>
      </c>
      <c r="S10" s="769">
        <f t="shared" si="0"/>
        <v>100</v>
      </c>
      <c r="T10" s="768" t="s">
        <v>17</v>
      </c>
      <c r="U10" s="769">
        <f t="shared" si="1"/>
        <v>100</v>
      </c>
      <c r="V10" s="768" t="s">
        <v>17</v>
      </c>
      <c r="W10" s="769">
        <f t="shared" si="2"/>
        <v>100</v>
      </c>
      <c r="X10" s="770"/>
      <c r="Y10" s="3170"/>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42"/>
      <c r="Q11" s="1789">
        <f t="shared" si="6"/>
        <v>111</v>
      </c>
      <c r="R11" s="768" t="s">
        <v>17</v>
      </c>
      <c r="S11" s="769">
        <f t="shared" si="0"/>
        <v>100</v>
      </c>
      <c r="T11" s="768" t="s">
        <v>17</v>
      </c>
      <c r="U11" s="769">
        <f t="shared" si="1"/>
        <v>100</v>
      </c>
      <c r="V11" s="768" t="s">
        <v>17</v>
      </c>
      <c r="W11" s="769">
        <f t="shared" si="2"/>
        <v>100</v>
      </c>
      <c r="X11" s="770"/>
      <c r="Y11" s="3170"/>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42"/>
      <c r="Q12" s="1789">
        <f t="shared" si="6"/>
        <v>111</v>
      </c>
      <c r="R12" s="768" t="s">
        <v>17</v>
      </c>
      <c r="S12" s="769">
        <f t="shared" si="0"/>
        <v>100</v>
      </c>
      <c r="T12" s="768" t="s">
        <v>17</v>
      </c>
      <c r="U12" s="769">
        <f t="shared" si="1"/>
        <v>100</v>
      </c>
      <c r="V12" s="768" t="s">
        <v>17</v>
      </c>
      <c r="W12" s="769">
        <f t="shared" si="2"/>
        <v>100</v>
      </c>
      <c r="X12" s="770"/>
      <c r="Y12" s="3170"/>
      <c r="Z12" s="55">
        <f t="shared" si="7"/>
        <v>111</v>
      </c>
      <c r="AA12" s="771">
        <f>D12/F12</f>
        <v>1</v>
      </c>
      <c r="AB12" s="771">
        <f>D12/H12</f>
        <v>1</v>
      </c>
      <c r="AC12" s="771">
        <f>D12/J12</f>
        <v>1</v>
      </c>
    </row>
    <row r="13" spans="1:29" ht="15.6"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42"/>
      <c r="Q13" s="1789">
        <f t="shared" si="6"/>
        <v>111</v>
      </c>
      <c r="R13" s="768" t="s">
        <v>17</v>
      </c>
      <c r="S13" s="769">
        <f t="shared" si="0"/>
        <v>100</v>
      </c>
      <c r="T13" s="768" t="s">
        <v>17</v>
      </c>
      <c r="U13" s="769">
        <f t="shared" si="1"/>
        <v>100</v>
      </c>
      <c r="V13" s="768" t="s">
        <v>17</v>
      </c>
      <c r="W13" s="769">
        <f t="shared" si="2"/>
        <v>100</v>
      </c>
      <c r="X13" s="770"/>
      <c r="Y13" s="3170"/>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44" t="s">
        <v>2542</v>
      </c>
      <c r="Q14" s="1804" t="str">
        <f t="shared" si="6"/>
        <v>交通便捷度</v>
      </c>
      <c r="R14" s="772" t="s">
        <v>17</v>
      </c>
      <c r="S14" s="773">
        <f t="shared" si="0"/>
        <v>100</v>
      </c>
      <c r="T14" s="772" t="s">
        <v>17</v>
      </c>
      <c r="U14" s="773">
        <f t="shared" si="1"/>
        <v>100</v>
      </c>
      <c r="V14" s="772" t="s">
        <v>17</v>
      </c>
      <c r="W14" s="773">
        <f t="shared" si="2"/>
        <v>100</v>
      </c>
      <c r="X14" s="1807"/>
      <c r="Y14" s="3344" t="s">
        <v>2542</v>
      </c>
      <c r="Z14" s="1808" t="str">
        <f t="shared" si="7"/>
        <v>交通便捷度</v>
      </c>
      <c r="AA14" s="1805">
        <f t="shared" si="3"/>
        <v>1</v>
      </c>
      <c r="AB14" s="1805">
        <f t="shared" si="4"/>
        <v>1</v>
      </c>
      <c r="AC14" s="1805">
        <f t="shared" si="5"/>
        <v>1</v>
      </c>
    </row>
    <row r="15" spans="1:29" ht="15">
      <c r="A15" s="402"/>
      <c r="B15" s="645"/>
      <c r="C15" s="445" t="s">
        <v>4649</v>
      </c>
      <c r="D15" s="446"/>
      <c r="E15" s="445" t="s">
        <v>4649</v>
      </c>
      <c r="F15" s="447"/>
      <c r="G15" s="445" t="s">
        <v>4649</v>
      </c>
      <c r="H15" s="448"/>
      <c r="I15" s="445" t="s">
        <v>4649</v>
      </c>
      <c r="J15" s="446"/>
      <c r="K15" s="613"/>
      <c r="L15" s="1136"/>
      <c r="M15" s="1127"/>
      <c r="N15" s="1127"/>
      <c r="O15" s="1127"/>
      <c r="P15" s="3345"/>
      <c r="Q15" s="1804"/>
      <c r="R15" s="772"/>
      <c r="S15" s="773"/>
      <c r="T15" s="772"/>
      <c r="U15" s="773"/>
      <c r="V15" s="772"/>
      <c r="W15" s="773"/>
      <c r="X15" s="1807"/>
      <c r="Y15" s="3345"/>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45"/>
      <c r="Q16" s="1804" t="str">
        <f>B16</f>
        <v>公共配套设施</v>
      </c>
      <c r="R16" s="772" t="s">
        <v>17</v>
      </c>
      <c r="S16" s="773">
        <f>F16</f>
        <v>103</v>
      </c>
      <c r="T16" s="772" t="s">
        <v>17</v>
      </c>
      <c r="U16" s="773">
        <f>H16</f>
        <v>103</v>
      </c>
      <c r="V16" s="772" t="s">
        <v>17</v>
      </c>
      <c r="W16" s="773">
        <f>J16</f>
        <v>100</v>
      </c>
      <c r="X16" s="1807"/>
      <c r="Y16" s="3345"/>
      <c r="Z16" s="1808" t="str">
        <f>Q16</f>
        <v>公共配套设施</v>
      </c>
      <c r="AA16" s="1805">
        <f t="shared" si="3"/>
        <v>0.970873786407767</v>
      </c>
      <c r="AB16" s="1805">
        <f t="shared" si="4"/>
        <v>0.970873786407767</v>
      </c>
      <c r="AC16" s="1805">
        <f t="shared" si="5"/>
        <v>1</v>
      </c>
    </row>
    <row r="17" spans="1:29" ht="15">
      <c r="A17" s="402"/>
      <c r="B17" s="630"/>
      <c r="C17" s="2592" t="s">
        <v>4649</v>
      </c>
      <c r="D17" s="446"/>
      <c r="E17" s="445" t="s">
        <v>4646</v>
      </c>
      <c r="F17" s="447"/>
      <c r="G17" s="445" t="s">
        <v>4646</v>
      </c>
      <c r="H17" s="446"/>
      <c r="I17" s="445" t="s">
        <v>4649</v>
      </c>
      <c r="J17" s="446"/>
      <c r="K17" s="613"/>
      <c r="L17" s="1136"/>
      <c r="M17" s="1127"/>
      <c r="N17" s="1127"/>
      <c r="O17" s="1127"/>
      <c r="P17" s="3345"/>
      <c r="Q17" s="1804"/>
      <c r="R17" s="772"/>
      <c r="S17" s="773"/>
      <c r="T17" s="772"/>
      <c r="U17" s="773"/>
      <c r="V17" s="772"/>
      <c r="W17" s="773"/>
      <c r="X17" s="1807"/>
      <c r="Y17" s="3345"/>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45"/>
      <c r="Q18" s="1804" t="str">
        <f>B18</f>
        <v>基础设施水平</v>
      </c>
      <c r="R18" s="772" t="s">
        <v>17</v>
      </c>
      <c r="S18" s="773">
        <f>F18</f>
        <v>100</v>
      </c>
      <c r="T18" s="772" t="s">
        <v>17</v>
      </c>
      <c r="U18" s="773">
        <f>H18</f>
        <v>100</v>
      </c>
      <c r="V18" s="772" t="s">
        <v>17</v>
      </c>
      <c r="W18" s="773">
        <f>J18</f>
        <v>100</v>
      </c>
      <c r="X18" s="1807"/>
      <c r="Y18" s="3345"/>
      <c r="Z18" s="1808" t="str">
        <f>Q18</f>
        <v>基础设施水平</v>
      </c>
      <c r="AA18" s="1805">
        <f t="shared" ref="AA18" si="8">D18/F18</f>
        <v>1</v>
      </c>
      <c r="AB18" s="1805">
        <f t="shared" ref="AB18" si="9">D18/H18</f>
        <v>1</v>
      </c>
      <c r="AC18" s="1805">
        <f t="shared" ref="AC18" si="10">D18/J18</f>
        <v>1</v>
      </c>
    </row>
    <row r="19" spans="1:29" ht="15">
      <c r="A19" s="402"/>
      <c r="B19" s="631"/>
      <c r="C19" s="2592" t="s">
        <v>4653</v>
      </c>
      <c r="D19" s="448"/>
      <c r="E19" s="2592" t="s">
        <v>4653</v>
      </c>
      <c r="F19" s="451"/>
      <c r="G19" s="2592" t="s">
        <v>4653</v>
      </c>
      <c r="H19" s="446"/>
      <c r="I19" s="2592" t="s">
        <v>4653</v>
      </c>
      <c r="J19" s="446"/>
      <c r="K19" s="1379"/>
      <c r="L19" s="1136"/>
      <c r="M19" s="1127"/>
      <c r="N19" s="1127"/>
      <c r="O19" s="1127"/>
      <c r="P19" s="3345"/>
      <c r="Q19" s="1804"/>
      <c r="R19" s="772"/>
      <c r="S19" s="773"/>
      <c r="T19" s="772"/>
      <c r="U19" s="773"/>
      <c r="V19" s="772"/>
      <c r="W19" s="773"/>
      <c r="X19" s="1807"/>
      <c r="Y19" s="3345"/>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45"/>
      <c r="Q20" s="1804" t="str">
        <f>B20</f>
        <v>自然及人文环境</v>
      </c>
      <c r="R20" s="772" t="s">
        <v>17</v>
      </c>
      <c r="S20" s="773">
        <f>F20</f>
        <v>100</v>
      </c>
      <c r="T20" s="772" t="s">
        <v>17</v>
      </c>
      <c r="U20" s="773">
        <f>H20</f>
        <v>100</v>
      </c>
      <c r="V20" s="772" t="s">
        <v>17</v>
      </c>
      <c r="W20" s="773">
        <f>J20</f>
        <v>100</v>
      </c>
      <c r="X20" s="1807"/>
      <c r="Y20" s="3345"/>
      <c r="Z20" s="1808" t="str">
        <f>Q20</f>
        <v>自然及人文环境</v>
      </c>
      <c r="AA20" s="1805">
        <f t="shared" si="3"/>
        <v>1</v>
      </c>
      <c r="AB20" s="1805">
        <f t="shared" si="4"/>
        <v>1</v>
      </c>
      <c r="AC20" s="1805">
        <f t="shared" si="5"/>
        <v>1</v>
      </c>
    </row>
    <row r="21" spans="1:29" ht="15">
      <c r="A21" s="402"/>
      <c r="B21" s="630"/>
      <c r="C21" s="445" t="s">
        <v>4649</v>
      </c>
      <c r="D21" s="446"/>
      <c r="E21" s="445" t="s">
        <v>4649</v>
      </c>
      <c r="F21" s="447"/>
      <c r="G21" s="445" t="s">
        <v>4649</v>
      </c>
      <c r="H21" s="446"/>
      <c r="I21" s="445" t="s">
        <v>4649</v>
      </c>
      <c r="J21" s="446"/>
      <c r="K21" s="613"/>
      <c r="L21" s="1136"/>
      <c r="M21" s="1127"/>
      <c r="N21" s="1127"/>
      <c r="O21" s="1127"/>
      <c r="P21" s="3345"/>
      <c r="Q21" s="1804"/>
      <c r="R21" s="772"/>
      <c r="S21" s="773"/>
      <c r="T21" s="772"/>
      <c r="U21" s="773"/>
      <c r="V21" s="772"/>
      <c r="W21" s="773"/>
      <c r="X21" s="1807"/>
      <c r="Y21" s="3345"/>
      <c r="Z21" s="1808"/>
      <c r="AA21" s="1805">
        <v>1</v>
      </c>
      <c r="AB21" s="1805">
        <v>1</v>
      </c>
      <c r="AC21" s="1805">
        <v>1</v>
      </c>
    </row>
    <row r="22" spans="1:29" ht="15.6"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45"/>
      <c r="Q22" s="1804" t="str">
        <f>B22</f>
        <v>楼层</v>
      </c>
      <c r="R22" s="772" t="s">
        <v>17</v>
      </c>
      <c r="S22" s="773">
        <f>F22</f>
        <v>100</v>
      </c>
      <c r="T22" s="772" t="s">
        <v>17</v>
      </c>
      <c r="U22" s="773">
        <f>H22</f>
        <v>100</v>
      </c>
      <c r="V22" s="772" t="s">
        <v>17</v>
      </c>
      <c r="W22" s="773">
        <f>J22</f>
        <v>100</v>
      </c>
      <c r="X22" s="1807"/>
      <c r="Y22" s="3345"/>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45"/>
      <c r="Q23" s="1804">
        <f>B23</f>
        <v>111</v>
      </c>
      <c r="R23" s="772" t="s">
        <v>17</v>
      </c>
      <c r="S23" s="773">
        <f>F23</f>
        <v>100</v>
      </c>
      <c r="T23" s="772" t="s">
        <v>17</v>
      </c>
      <c r="U23" s="773">
        <f>H23</f>
        <v>100</v>
      </c>
      <c r="V23" s="772" t="s">
        <v>17</v>
      </c>
      <c r="W23" s="773">
        <f>J23</f>
        <v>100</v>
      </c>
      <c r="X23" s="1807"/>
      <c r="Y23" s="3345"/>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45"/>
      <c r="Q24" s="1804">
        <f t="shared" ref="Q24:Q36" si="11">B24</f>
        <v>111</v>
      </c>
      <c r="R24" s="772" t="s">
        <v>17</v>
      </c>
      <c r="S24" s="773">
        <f>F24</f>
        <v>100</v>
      </c>
      <c r="T24" s="772" t="s">
        <v>17</v>
      </c>
      <c r="U24" s="773">
        <f>H24</f>
        <v>100</v>
      </c>
      <c r="V24" s="772" t="s">
        <v>17</v>
      </c>
      <c r="W24" s="773">
        <f>J24</f>
        <v>100</v>
      </c>
      <c r="X24" s="1807"/>
      <c r="Y24" s="3345"/>
      <c r="Z24" s="1808">
        <f>Q24</f>
        <v>111</v>
      </c>
      <c r="AA24" s="1805">
        <f t="shared" si="3"/>
        <v>1</v>
      </c>
      <c r="AB24" s="1805">
        <f t="shared" si="4"/>
        <v>1</v>
      </c>
      <c r="AC24" s="1805">
        <f t="shared" si="5"/>
        <v>1</v>
      </c>
    </row>
    <row r="25" spans="1:29" s="115" customFormat="1" ht="15.6"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45"/>
      <c r="Q25" s="1789">
        <f t="shared" si="11"/>
        <v>111</v>
      </c>
      <c r="R25" s="768" t="s">
        <v>17</v>
      </c>
      <c r="S25" s="769">
        <f>F25</f>
        <v>100</v>
      </c>
      <c r="T25" s="768" t="s">
        <v>17</v>
      </c>
      <c r="U25" s="769">
        <f>H25</f>
        <v>100</v>
      </c>
      <c r="V25" s="768" t="s">
        <v>17</v>
      </c>
      <c r="W25" s="769">
        <f>J25</f>
        <v>100</v>
      </c>
      <c r="X25" s="770"/>
      <c r="Y25" s="3345"/>
      <c r="Z25" s="55">
        <f>Q25</f>
        <v>111</v>
      </c>
      <c r="AA25" s="1805">
        <f>D25/F25</f>
        <v>1</v>
      </c>
      <c r="AB25" s="1805">
        <f>D25/H25</f>
        <v>1</v>
      </c>
      <c r="AC25" s="1805">
        <f>D25/J25</f>
        <v>1</v>
      </c>
    </row>
    <row r="26" spans="1:29" ht="30">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46"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47" t="s">
        <v>2547</v>
      </c>
      <c r="Z26" s="1808" t="str">
        <f t="shared" ref="Z26:Z36" si="15">Q26</f>
        <v>配套类型</v>
      </c>
      <c r="AA26" s="1805">
        <f t="shared" si="3"/>
        <v>1</v>
      </c>
      <c r="AB26" s="1805">
        <f t="shared" si="4"/>
        <v>1</v>
      </c>
      <c r="AC26" s="1805">
        <f t="shared" si="5"/>
        <v>1</v>
      </c>
    </row>
    <row r="27" spans="1:29" s="469" customFormat="1" ht="15">
      <c r="A27" s="651"/>
      <c r="B27" s="652" t="s">
        <v>2695</v>
      </c>
      <c r="C27" s="653" t="s">
        <v>4719</v>
      </c>
      <c r="D27" s="134">
        <v>100</v>
      </c>
      <c r="E27" s="653" t="s">
        <v>4720</v>
      </c>
      <c r="F27" s="459">
        <f>SUMIF(81:81,E27,82:82)-SUMIF(81:81,C27,82:82)+100</f>
        <v>100</v>
      </c>
      <c r="G27" s="653" t="s">
        <v>4724</v>
      </c>
      <c r="H27" s="433">
        <f>SUMIF(81:81,G27,82:82)-SUMIF(81:81,C27,82:82)+100</f>
        <v>105</v>
      </c>
      <c r="I27" s="653" t="s">
        <v>4721</v>
      </c>
      <c r="J27" s="433">
        <f>SUMIF(81:81,I27,82:82)-SUMIF(81:81,C27,82:82)+100</f>
        <v>110</v>
      </c>
      <c r="K27" s="611"/>
      <c r="L27" s="1134"/>
      <c r="M27" s="1137"/>
      <c r="N27" s="1137"/>
      <c r="O27" s="1137"/>
      <c r="P27" s="3347"/>
      <c r="Q27" s="774" t="str">
        <f t="shared" si="11"/>
        <v>项目停车位配比</v>
      </c>
      <c r="R27" s="775" t="s">
        <v>17</v>
      </c>
      <c r="S27" s="776">
        <f t="shared" si="12"/>
        <v>100</v>
      </c>
      <c r="T27" s="775" t="s">
        <v>17</v>
      </c>
      <c r="U27" s="776">
        <f t="shared" si="13"/>
        <v>105</v>
      </c>
      <c r="V27" s="775" t="s">
        <v>17</v>
      </c>
      <c r="W27" s="776">
        <f t="shared" si="14"/>
        <v>110</v>
      </c>
      <c r="X27" s="777"/>
      <c r="Y27" s="3347"/>
      <c r="Z27" s="778" t="str">
        <f t="shared" si="15"/>
        <v>项目停车位配比</v>
      </c>
      <c r="AA27" s="1805">
        <f t="shared" si="3"/>
        <v>1</v>
      </c>
      <c r="AB27" s="1805">
        <f t="shared" si="4"/>
        <v>0.95238095238095233</v>
      </c>
      <c r="AC27" s="1805">
        <f t="shared" si="5"/>
        <v>0.90909090909090906</v>
      </c>
    </row>
    <row r="28" spans="1:29" ht="15">
      <c r="A28" s="654"/>
      <c r="B28" s="652" t="s">
        <v>2696</v>
      </c>
      <c r="C28" s="458" t="s">
        <v>4693</v>
      </c>
      <c r="D28" s="433">
        <v>100</v>
      </c>
      <c r="E28" s="458" t="s">
        <v>4693</v>
      </c>
      <c r="F28" s="459">
        <f>SUMIF(83:83,E28,84:84)-SUMIF(83:83,C28,84:84)+100</f>
        <v>100</v>
      </c>
      <c r="G28" s="458" t="s">
        <v>4693</v>
      </c>
      <c r="H28" s="433">
        <f>SUMIF(83:83,G28,84:84)-SUMIF(83:83,C28,84:84)+100</f>
        <v>100</v>
      </c>
      <c r="I28" s="458" t="s">
        <v>4693</v>
      </c>
      <c r="J28" s="433">
        <f>SUMIF(83:83,I28,84:84)-SUMIF(83:83,C28,84:84)+100</f>
        <v>100</v>
      </c>
      <c r="K28" s="610">
        <v>2</v>
      </c>
      <c r="L28" s="1136"/>
      <c r="M28" s="1127"/>
      <c r="N28" s="1127"/>
      <c r="O28" s="1127"/>
      <c r="P28" s="3347"/>
      <c r="Q28" s="1804" t="str">
        <f t="shared" si="11"/>
        <v>公共部分装修</v>
      </c>
      <c r="R28" s="772" t="s">
        <v>17</v>
      </c>
      <c r="S28" s="773">
        <f t="shared" si="12"/>
        <v>100</v>
      </c>
      <c r="T28" s="772" t="s">
        <v>17</v>
      </c>
      <c r="U28" s="773">
        <f t="shared" si="13"/>
        <v>100</v>
      </c>
      <c r="V28" s="772" t="s">
        <v>17</v>
      </c>
      <c r="W28" s="773">
        <f t="shared" si="14"/>
        <v>100</v>
      </c>
      <c r="X28" s="1807"/>
      <c r="Y28" s="3347"/>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47"/>
      <c r="Q29" s="1804" t="str">
        <f t="shared" si="11"/>
        <v>成新率</v>
      </c>
      <c r="R29" s="772" t="s">
        <v>17</v>
      </c>
      <c r="S29" s="773">
        <f t="shared" si="12"/>
        <v>100</v>
      </c>
      <c r="T29" s="772" t="s">
        <v>17</v>
      </c>
      <c r="U29" s="773">
        <f t="shared" si="13"/>
        <v>100</v>
      </c>
      <c r="V29" s="772" t="s">
        <v>17</v>
      </c>
      <c r="W29" s="773">
        <f t="shared" si="14"/>
        <v>100</v>
      </c>
      <c r="X29" s="1807"/>
      <c r="Y29" s="3347"/>
      <c r="Z29" s="1808" t="str">
        <f t="shared" si="15"/>
        <v>成新率</v>
      </c>
      <c r="AA29" s="1805">
        <f t="shared" si="3"/>
        <v>1</v>
      </c>
      <c r="AB29" s="1805">
        <f t="shared" si="4"/>
        <v>1</v>
      </c>
      <c r="AC29" s="1805">
        <f t="shared" si="5"/>
        <v>1</v>
      </c>
    </row>
    <row r="30" spans="1:29" ht="15">
      <c r="A30" s="654"/>
      <c r="B30" s="652" t="s">
        <v>2698</v>
      </c>
      <c r="C30" s="655" t="s">
        <v>4700</v>
      </c>
      <c r="D30" s="433">
        <v>100</v>
      </c>
      <c r="E30" s="655" t="s">
        <v>4700</v>
      </c>
      <c r="F30" s="459">
        <f>SUMIF(88:88,E30,89:89)-SUMIF(88:88,C30,89:89)+100</f>
        <v>100</v>
      </c>
      <c r="G30" s="655" t="s">
        <v>4700</v>
      </c>
      <c r="H30" s="433">
        <f>SUMIF(88:88,E30,89:89)-SUMIF(88:88,C30,89:89)+100</f>
        <v>100</v>
      </c>
      <c r="I30" s="655" t="s">
        <v>4700</v>
      </c>
      <c r="J30" s="433">
        <f>SUMIF(88:88,E30,89:89)-SUMIF(88:88,C30,89:89)+100</f>
        <v>100</v>
      </c>
      <c r="K30" s="610">
        <v>2</v>
      </c>
      <c r="L30" s="1136"/>
      <c r="M30" s="1127"/>
      <c r="N30" s="1127"/>
      <c r="O30" s="1127"/>
      <c r="P30" s="3347"/>
      <c r="Q30" s="1804" t="str">
        <f t="shared" si="11"/>
        <v>物业等级</v>
      </c>
      <c r="R30" s="772" t="s">
        <v>17</v>
      </c>
      <c r="S30" s="773">
        <f t="shared" si="12"/>
        <v>100</v>
      </c>
      <c r="T30" s="772" t="s">
        <v>17</v>
      </c>
      <c r="U30" s="773">
        <f t="shared" si="13"/>
        <v>100</v>
      </c>
      <c r="V30" s="772" t="s">
        <v>17</v>
      </c>
      <c r="W30" s="773">
        <f t="shared" si="14"/>
        <v>100</v>
      </c>
      <c r="X30" s="1807"/>
      <c r="Y30" s="3347"/>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47"/>
      <c r="Q31" s="1789" t="str">
        <f t="shared" si="11"/>
        <v>停车位面积</v>
      </c>
      <c r="R31" s="768" t="s">
        <v>17</v>
      </c>
      <c r="S31" s="769">
        <f t="shared" si="12"/>
        <v>100</v>
      </c>
      <c r="T31" s="768" t="s">
        <v>17</v>
      </c>
      <c r="U31" s="769">
        <f t="shared" si="13"/>
        <v>100</v>
      </c>
      <c r="V31" s="768" t="s">
        <v>17</v>
      </c>
      <c r="W31" s="769">
        <f t="shared" si="14"/>
        <v>100</v>
      </c>
      <c r="X31" s="770"/>
      <c r="Y31" s="3347"/>
      <c r="Z31" s="55" t="str">
        <f t="shared" si="15"/>
        <v>停车位面积</v>
      </c>
      <c r="AA31" s="771">
        <f t="shared" si="3"/>
        <v>1</v>
      </c>
      <c r="AB31" s="771">
        <f t="shared" si="4"/>
        <v>1</v>
      </c>
      <c r="AC31" s="771">
        <f t="shared" si="5"/>
        <v>1</v>
      </c>
    </row>
    <row r="32" spans="1:29" ht="15">
      <c r="A32" s="654"/>
      <c r="B32" s="652" t="s">
        <v>2700</v>
      </c>
      <c r="C32" s="458" t="s">
        <v>4698</v>
      </c>
      <c r="D32" s="433">
        <v>100</v>
      </c>
      <c r="E32" s="458" t="s">
        <v>4698</v>
      </c>
      <c r="F32" s="459">
        <f>SUMIF(93:93,E32,94:94)-SUMIF(93:93,C32,94:94)+100</f>
        <v>100</v>
      </c>
      <c r="G32" s="458" t="s">
        <v>4698</v>
      </c>
      <c r="H32" s="433">
        <f>SUMIF(93:93,G32,94:94)-SUMIF(93:93,C32,94:94)+100</f>
        <v>100</v>
      </c>
      <c r="I32" s="458" t="s">
        <v>4698</v>
      </c>
      <c r="J32" s="433">
        <f>SUMIF(93:93,I32,94:94)-SUMIF(93:93,C32,94:94)+100</f>
        <v>100</v>
      </c>
      <c r="K32" s="610">
        <v>2</v>
      </c>
      <c r="L32" s="1136"/>
      <c r="M32" s="1127"/>
      <c r="N32" s="1127"/>
      <c r="O32" s="1127"/>
      <c r="P32" s="3347" t="s">
        <v>2547</v>
      </c>
      <c r="Q32" s="1804" t="str">
        <f t="shared" si="11"/>
        <v>车位类型</v>
      </c>
      <c r="R32" s="772" t="s">
        <v>17</v>
      </c>
      <c r="S32" s="773">
        <f t="shared" si="12"/>
        <v>100</v>
      </c>
      <c r="T32" s="772" t="s">
        <v>17</v>
      </c>
      <c r="U32" s="773">
        <f t="shared" si="13"/>
        <v>100</v>
      </c>
      <c r="V32" s="772" t="s">
        <v>17</v>
      </c>
      <c r="W32" s="773">
        <f t="shared" si="14"/>
        <v>100</v>
      </c>
      <c r="X32" s="1807"/>
      <c r="Y32" s="3347" t="s">
        <v>2547</v>
      </c>
      <c r="Z32" s="1808" t="str">
        <f t="shared" si="15"/>
        <v>车位类型</v>
      </c>
      <c r="AA32" s="1805">
        <f t="shared" si="3"/>
        <v>1</v>
      </c>
      <c r="AB32" s="1805">
        <f t="shared" si="4"/>
        <v>1</v>
      </c>
      <c r="AC32" s="1805">
        <f t="shared" si="5"/>
        <v>1</v>
      </c>
    </row>
    <row r="33" spans="1:29" ht="15">
      <c r="A33" s="654"/>
      <c r="B33" s="652" t="s">
        <v>2701</v>
      </c>
      <c r="C33" s="458" t="s">
        <v>4433</v>
      </c>
      <c r="D33" s="433">
        <v>100</v>
      </c>
      <c r="E33" s="458" t="s">
        <v>4433</v>
      </c>
      <c r="F33" s="459">
        <f>SUMIF(95:95,E33,96:96)-SUMIF(95:95,C33,96:96)+100</f>
        <v>100</v>
      </c>
      <c r="G33" s="458" t="s">
        <v>4433</v>
      </c>
      <c r="H33" s="433">
        <f>SUMIF(95:95,G33,96:96)-SUMIF(95:95,C33,96:96)+100</f>
        <v>100</v>
      </c>
      <c r="I33" s="458" t="s">
        <v>4433</v>
      </c>
      <c r="J33" s="433">
        <f>SUMIF(95:95,I33,96:96)-SUMIF(95:95,C33,96:96)+100</f>
        <v>100</v>
      </c>
      <c r="K33" s="610">
        <v>2</v>
      </c>
      <c r="L33" s="1136"/>
      <c r="M33" s="1127"/>
      <c r="N33" s="1127"/>
      <c r="O33" s="1127"/>
      <c r="P33" s="3347"/>
      <c r="Q33" s="1804" t="str">
        <f t="shared" si="11"/>
        <v>是否直接入户</v>
      </c>
      <c r="R33" s="772" t="s">
        <v>17</v>
      </c>
      <c r="S33" s="773">
        <f t="shared" si="12"/>
        <v>100</v>
      </c>
      <c r="T33" s="772" t="s">
        <v>17</v>
      </c>
      <c r="U33" s="773">
        <f t="shared" si="13"/>
        <v>100</v>
      </c>
      <c r="V33" s="772" t="s">
        <v>17</v>
      </c>
      <c r="W33" s="773">
        <f t="shared" si="14"/>
        <v>100</v>
      </c>
      <c r="X33" s="1807"/>
      <c r="Y33" s="3347"/>
      <c r="Z33" s="1808" t="str">
        <f t="shared" si="15"/>
        <v>是否直接入户</v>
      </c>
      <c r="AA33" s="1805">
        <f t="shared" si="3"/>
        <v>1</v>
      </c>
      <c r="AB33" s="1805">
        <f t="shared" si="4"/>
        <v>1</v>
      </c>
      <c r="AC33" s="1805">
        <f t="shared" si="5"/>
        <v>1</v>
      </c>
    </row>
    <row r="34" spans="1:29" ht="15">
      <c r="A34" s="654"/>
      <c r="B34" s="3096" t="s">
        <v>4695</v>
      </c>
      <c r="C34" s="3075" t="s">
        <v>4704</v>
      </c>
      <c r="D34" s="433">
        <v>100</v>
      </c>
      <c r="E34" s="3075" t="s">
        <v>4704</v>
      </c>
      <c r="F34" s="459">
        <f>SUMIF(97:97,E34,98:98)-SUMIF(97:97,C34,98:98)+100</f>
        <v>100</v>
      </c>
      <c r="G34" s="3075" t="s">
        <v>4703</v>
      </c>
      <c r="H34" s="433">
        <f>SUMIF(97:97,G34,98:98)-SUMIF(97:97,C34,98:98)+100</f>
        <v>100</v>
      </c>
      <c r="I34" s="3075" t="s">
        <v>4702</v>
      </c>
      <c r="J34" s="433">
        <f>SUMIF(97:97,I34,98:98)-SUMIF(97:97,C34,98:98)+100</f>
        <v>105</v>
      </c>
      <c r="K34" s="611"/>
      <c r="L34" s="1136"/>
      <c r="M34" s="1127"/>
      <c r="N34" s="1127"/>
      <c r="O34" s="1127"/>
      <c r="P34" s="3347"/>
      <c r="Q34" s="1804" t="str">
        <f t="shared" si="11"/>
        <v>期房现房</v>
      </c>
      <c r="R34" s="772" t="s">
        <v>17</v>
      </c>
      <c r="S34" s="773">
        <f t="shared" si="12"/>
        <v>100</v>
      </c>
      <c r="T34" s="772" t="s">
        <v>17</v>
      </c>
      <c r="U34" s="773">
        <f t="shared" si="13"/>
        <v>100</v>
      </c>
      <c r="V34" s="772" t="s">
        <v>17</v>
      </c>
      <c r="W34" s="773">
        <f t="shared" si="14"/>
        <v>105</v>
      </c>
      <c r="X34" s="1807"/>
      <c r="Y34" s="3347"/>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47"/>
      <c r="Q35" s="774">
        <f t="shared" si="11"/>
        <v>111</v>
      </c>
      <c r="R35" s="775" t="s">
        <v>17</v>
      </c>
      <c r="S35" s="776">
        <f t="shared" si="12"/>
        <v>100</v>
      </c>
      <c r="T35" s="775" t="s">
        <v>17</v>
      </c>
      <c r="U35" s="776">
        <f t="shared" si="13"/>
        <v>100</v>
      </c>
      <c r="V35" s="775" t="s">
        <v>17</v>
      </c>
      <c r="W35" s="776">
        <f t="shared" si="14"/>
        <v>100</v>
      </c>
      <c r="X35" s="777"/>
      <c r="Y35" s="3347"/>
      <c r="Z35" s="778">
        <f t="shared" si="15"/>
        <v>111</v>
      </c>
      <c r="AA35" s="1805">
        <f t="shared" si="3"/>
        <v>1</v>
      </c>
      <c r="AB35" s="1805">
        <f t="shared" si="4"/>
        <v>1</v>
      </c>
      <c r="AC35" s="1805">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47"/>
      <c r="Q36" s="1804">
        <f t="shared" si="11"/>
        <v>111</v>
      </c>
      <c r="R36" s="772" t="s">
        <v>17</v>
      </c>
      <c r="S36" s="773">
        <f t="shared" si="12"/>
        <v>100</v>
      </c>
      <c r="T36" s="772" t="s">
        <v>17</v>
      </c>
      <c r="U36" s="773">
        <f t="shared" si="13"/>
        <v>100</v>
      </c>
      <c r="V36" s="772" t="s">
        <v>17</v>
      </c>
      <c r="W36" s="773">
        <f t="shared" si="14"/>
        <v>100</v>
      </c>
      <c r="X36" s="1807"/>
      <c r="Y36" s="3347"/>
      <c r="Z36" s="1808">
        <f t="shared" si="15"/>
        <v>111</v>
      </c>
      <c r="AA36" s="1805">
        <f t="shared" si="3"/>
        <v>1</v>
      </c>
      <c r="AB36" s="1805">
        <f t="shared" si="4"/>
        <v>1</v>
      </c>
      <c r="AC36" s="1805">
        <f t="shared" si="5"/>
        <v>1</v>
      </c>
    </row>
    <row r="37" spans="1:29" ht="14.4">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42" t="str">
        <f>A37</f>
        <v>成交单价</v>
      </c>
      <c r="Q37" s="3342"/>
      <c r="R37" s="3383">
        <f>E37</f>
        <v>380000</v>
      </c>
      <c r="S37" s="3383"/>
      <c r="T37" s="3383">
        <f>G37</f>
        <v>420000</v>
      </c>
      <c r="U37" s="3383"/>
      <c r="V37" s="3383">
        <f>I37</f>
        <v>400000</v>
      </c>
      <c r="W37" s="3383"/>
      <c r="X37" s="757"/>
      <c r="Y37" s="779"/>
      <c r="Z37" s="757"/>
      <c r="AA37" s="757"/>
      <c r="AB37" s="757"/>
      <c r="AC37" s="757"/>
    </row>
    <row r="38" spans="1:29" ht="1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42" t="str">
        <f>A38</f>
        <v>比较价值（元/平方米）</v>
      </c>
      <c r="Q38" s="3342"/>
      <c r="R38" s="3383">
        <f>IF(F1="售价",ROUND(PRODUCT(R37,AA7:AA36),0),ROUND(PRODUCT(R37,AA7:AA36),1))</f>
        <v>368932</v>
      </c>
      <c r="S38" s="3383"/>
      <c r="T38" s="3383">
        <f>IF(F1="售价",ROUND(PRODUCT(T37,AB7:AB36),0),ROUND(PRODUCT(T37,AB7:AB36),1))</f>
        <v>388350</v>
      </c>
      <c r="U38" s="3383"/>
      <c r="V38" s="3383">
        <f>IF(F1="售价",ROUND(PRODUCT(V37,AC7:AC36),0),ROUND(PRODUCT(V37,AC7:AC36),1))</f>
        <v>346320</v>
      </c>
      <c r="W38" s="3383"/>
      <c r="X38" s="757"/>
      <c r="Y38" s="757"/>
      <c r="Z38" s="757"/>
      <c r="AA38" s="757"/>
      <c r="AB38" s="757"/>
      <c r="AC38" s="757"/>
    </row>
    <row r="39" spans="1:29" ht="15" thickBot="1">
      <c r="A39" s="490" t="s">
        <v>4706</v>
      </c>
      <c r="B39" s="491"/>
      <c r="C39" s="1413">
        <f>R39</f>
        <v>367867</v>
      </c>
      <c r="D39" s="1413"/>
      <c r="E39" s="1413"/>
      <c r="F39" s="1413"/>
      <c r="G39" s="1413"/>
      <c r="H39" s="1413"/>
      <c r="I39" s="1413"/>
      <c r="J39" s="1413"/>
      <c r="K39" s="619"/>
      <c r="L39" s="1139"/>
      <c r="M39" s="1140"/>
      <c r="N39" s="1140"/>
      <c r="O39" s="1140"/>
      <c r="P39" s="3336" t="str">
        <f>A39</f>
        <v>估价对象车库用房的比较价值（楼面单价，元/平方米）</v>
      </c>
      <c r="Q39" s="3337"/>
      <c r="R39" s="3384">
        <f>IF(F1="售价",ROUND(AVERAGE(R38:V38),0),ROUND(AVERAGE(R38:V38),1))</f>
        <v>367867</v>
      </c>
      <c r="S39" s="3384"/>
      <c r="T39" s="3384"/>
      <c r="U39" s="3384"/>
      <c r="V39" s="3384"/>
      <c r="W39" s="3384"/>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4.4">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4.4">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4.4"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ht="14.4">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4.4"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9.4"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4.4"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4.4"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4.4"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4.4"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4.4"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4.4"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4.4"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4.4"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4.4"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4.4"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4.4"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 thickTop="1">
      <c r="A71" s="532"/>
      <c r="B71" s="536" t="s">
        <v>2710</v>
      </c>
      <c r="C71" s="3072" t="s">
        <v>4691</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4.4"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4.4"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4.4"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4.4"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4.4"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4.4"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4.4"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9.4"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4.4"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 thickTop="1">
      <c r="A81" s="532"/>
      <c r="B81" s="536" t="s">
        <v>2712</v>
      </c>
      <c r="C81" s="659" t="s">
        <v>4722</v>
      </c>
      <c r="D81" s="659" t="s">
        <v>4725</v>
      </c>
      <c r="E81" s="659" t="s">
        <v>4723</v>
      </c>
      <c r="F81" s="659" t="s">
        <v>4726</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4.4"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4692</v>
      </c>
      <c r="D83" s="3072" t="s">
        <v>4694</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4.4"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4.4"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4701</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4.4"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4.4"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4699</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4.4"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4696</v>
      </c>
      <c r="D95" s="3071" t="s">
        <v>4697</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4.4"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4705</v>
      </c>
      <c r="D97" s="3079" t="s">
        <v>4703</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4.4"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4.4"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4.4"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4.4"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4.4"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1583</v>
      </c>
      <c r="B1" s="780"/>
      <c r="C1" s="1831" t="s">
        <v>48</v>
      </c>
      <c r="D1" s="1814" t="s">
        <v>4526</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80" t="s">
        <v>1397</v>
      </c>
      <c r="C6" s="1292">
        <f ca="1">ROUND(F6*F8*F7*(1-F9)/10000,0)</f>
        <v>0</v>
      </c>
      <c r="D6" s="162" t="s">
        <v>3012</v>
      </c>
      <c r="E6" s="345" t="s">
        <v>1399</v>
      </c>
      <c r="F6" s="346">
        <f ca="1">INDIRECT("'数据-取费表'!u"&amp;$G$1)</f>
        <v>0</v>
      </c>
      <c r="G6" s="1845"/>
      <c r="H6" s="1287" t="s">
        <v>1031</v>
      </c>
      <c r="I6" s="3380" t="s">
        <v>1397</v>
      </c>
      <c r="J6" s="344">
        <f ca="1">ROUND(M6*M8*M7*(1-M9)/10000,0)</f>
        <v>0</v>
      </c>
      <c r="K6" s="162" t="s">
        <v>3011</v>
      </c>
      <c r="L6" s="345" t="s">
        <v>1399</v>
      </c>
      <c r="M6" s="346">
        <f ca="1">INDIRECT("'数据-取费表'!z"&amp;$G$1)</f>
        <v>0</v>
      </c>
    </row>
    <row r="7" spans="1:37" ht="18" customHeight="1">
      <c r="A7" s="1291"/>
      <c r="B7" s="3381"/>
      <c r="C7" s="1293"/>
      <c r="D7" s="350"/>
      <c r="E7" s="2958" t="s">
        <v>1400</v>
      </c>
      <c r="F7" s="346">
        <f ca="1">IF(INDIRECT("'数据-取费表'!ah"&amp;$G$1)="",INDIRECT("'数据-取费表'!k"&amp;$G$1),INDIRECT("'数据-取费表'!ah"&amp;$G$1))</f>
        <v>476</v>
      </c>
      <c r="G7" s="1845"/>
      <c r="H7" s="347"/>
      <c r="I7" s="3381"/>
      <c r="J7" s="349"/>
      <c r="K7" s="350"/>
      <c r="L7" s="345" t="s">
        <v>1400</v>
      </c>
      <c r="M7" s="346">
        <f ca="1">F7</f>
        <v>476</v>
      </c>
    </row>
    <row r="8" spans="1:37" ht="18" customHeight="1">
      <c r="A8" s="347"/>
      <c r="B8" s="3381"/>
      <c r="C8" s="349"/>
      <c r="D8" s="350"/>
      <c r="E8" s="345" t="s">
        <v>1401</v>
      </c>
      <c r="F8" s="346">
        <f ca="1">INDIRECT("'数据-取费表'!ai"&amp;$G$1)</f>
        <v>12</v>
      </c>
      <c r="G8" s="1845"/>
      <c r="H8" s="347"/>
      <c r="I8" s="3381"/>
      <c r="J8" s="349"/>
      <c r="K8" s="350"/>
      <c r="L8" s="345" t="s">
        <v>1401</v>
      </c>
      <c r="M8" s="346">
        <f ca="1">INDIRECT("'数据-取费表'!ai"&amp;$G$1)</f>
        <v>12</v>
      </c>
    </row>
    <row r="9" spans="1:37" ht="18" customHeight="1">
      <c r="A9" s="347"/>
      <c r="B9" s="3382"/>
      <c r="C9" s="349"/>
      <c r="D9" s="350"/>
      <c r="E9" s="345" t="s">
        <v>1402</v>
      </c>
      <c r="F9" s="355">
        <f ca="1">INDIRECT("'数据-取费表'!w"&amp;$G$1)</f>
        <v>0</v>
      </c>
      <c r="G9" s="1845"/>
      <c r="H9" s="347"/>
      <c r="I9" s="3382"/>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4545</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8"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8"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40.200000000000003"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8"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8"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8"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8"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36.6"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8" t="s">
        <v>1542</v>
      </c>
      <c r="L53" s="3379"/>
      <c r="O53" s="1878" t="s">
        <v>1042</v>
      </c>
      <c r="P53" s="1879" t="s">
        <v>1543</v>
      </c>
      <c r="Q53" s="1880">
        <f ca="1">Q47+Q48</f>
        <v>-19</v>
      </c>
      <c r="R53" s="1880" t="s">
        <v>1043</v>
      </c>
    </row>
    <row r="54" spans="1:18" s="1836" customFormat="1" ht="24.6"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8"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37.200000000000003" thickTop="1" thickBot="1">
      <c r="A56" s="1172">
        <v>2</v>
      </c>
      <c r="B56" s="1173" t="s">
        <v>1408</v>
      </c>
      <c r="C56" s="274">
        <f ca="1">C13</f>
        <v>0</v>
      </c>
      <c r="D56" s="1907"/>
      <c r="E56" s="1908"/>
      <c r="F56" s="1900"/>
      <c r="I56" s="1909" t="s">
        <v>1548</v>
      </c>
      <c r="J56" s="1910" t="s">
        <v>4433</v>
      </c>
      <c r="K56" s="1881" t="s">
        <v>1549</v>
      </c>
      <c r="L56" s="1884" t="str">
        <f ca="1">IF(L48&lt;J51,"——",L48-J53)</f>
        <v>——</v>
      </c>
      <c r="O56" s="1878" t="s">
        <v>1036</v>
      </c>
      <c r="P56" s="1879" t="s">
        <v>1522</v>
      </c>
      <c r="Q56" s="1880">
        <f ca="1">C40+J29</f>
        <v>-19</v>
      </c>
      <c r="R56" s="1880" t="s">
        <v>1523</v>
      </c>
    </row>
    <row r="57" spans="1:18" s="1836" customFormat="1" ht="24.6"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6"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6"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2"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8"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8"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8"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8"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8"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2"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24.6"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2"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8" thickBot="1">
      <c r="A69" s="1166"/>
      <c r="B69" s="1167"/>
      <c r="C69" s="349"/>
      <c r="D69" s="1185" t="s">
        <v>1467</v>
      </c>
      <c r="E69" s="1165" t="s">
        <v>1468</v>
      </c>
      <c r="F69" s="377">
        <f ca="1">F41</f>
        <v>46.47</v>
      </c>
      <c r="O69" s="1888" t="s">
        <v>1044</v>
      </c>
      <c r="P69" s="1927" t="s">
        <v>1578</v>
      </c>
      <c r="Q69" s="1880">
        <f ca="1">C39</f>
        <v>-1</v>
      </c>
      <c r="R69" s="1880" t="s">
        <v>1523</v>
      </c>
    </row>
    <row r="70" spans="1:18" s="1836" customFormat="1" ht="13.8" thickBot="1">
      <c r="A70" s="1169"/>
      <c r="B70" s="1170"/>
      <c r="C70" s="353"/>
      <c r="D70" s="1181"/>
      <c r="E70" s="1165" t="s">
        <v>1471</v>
      </c>
      <c r="F70" s="1271"/>
      <c r="O70" s="1888" t="s">
        <v>1045</v>
      </c>
      <c r="P70" s="1927" t="s">
        <v>1579</v>
      </c>
      <c r="Q70" s="1880">
        <f ca="1">C13</f>
        <v>0</v>
      </c>
      <c r="R70" s="1880" t="s">
        <v>1523</v>
      </c>
    </row>
    <row r="71" spans="1:18" s="1836" customFormat="1" ht="13.8"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8" thickBot="1">
      <c r="B72" s="794"/>
      <c r="C72" s="794"/>
      <c r="O72" s="1888" t="s">
        <v>1040</v>
      </c>
      <c r="P72" s="1879" t="s">
        <v>1558</v>
      </c>
      <c r="Q72" s="1891">
        <f>L52</f>
        <v>0</v>
      </c>
      <c r="R72" s="1880"/>
    </row>
    <row r="73" spans="1:18" ht="16.2" thickBot="1">
      <c r="A73" s="1836"/>
      <c r="B73" s="794"/>
      <c r="C73" s="794"/>
      <c r="D73" s="1836"/>
      <c r="E73" s="1836"/>
      <c r="F73" s="1836"/>
      <c r="O73" s="1888" t="s">
        <v>1041</v>
      </c>
      <c r="P73" s="1879" t="s">
        <v>1561</v>
      </c>
      <c r="Q73" s="1880" t="e">
        <f ca="1">L58</f>
        <v>#DIV/0!</v>
      </c>
      <c r="R73" s="1880" t="s">
        <v>1562</v>
      </c>
    </row>
    <row r="74" spans="1:18" ht="13.8"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8"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4.4"/>
  <cols>
    <col min="1" max="1" width="13" bestFit="1" customWidth="1"/>
    <col min="2" max="2" width="16.88671875" customWidth="1"/>
    <col min="3" max="4" width="7.109375" bestFit="1" customWidth="1"/>
    <col min="5" max="5" width="23" bestFit="1" customWidth="1"/>
    <col min="7" max="7" width="5.21875" bestFit="1" customWidth="1"/>
    <col min="8" max="8" width="13.109375" bestFit="1" customWidth="1"/>
    <col min="9" max="9" width="15.21875" bestFit="1" customWidth="1"/>
    <col min="10" max="10" width="16.33203125" bestFit="1" customWidth="1"/>
  </cols>
  <sheetData>
    <row r="2" spans="1:14">
      <c r="A2" s="3086" t="s">
        <v>4673</v>
      </c>
      <c r="B2" s="3086" t="s">
        <v>4616</v>
      </c>
      <c r="C2" s="3086" t="s">
        <v>4681</v>
      </c>
      <c r="D2" s="3087"/>
      <c r="E2" s="3087"/>
      <c r="F2" s="3087"/>
      <c r="G2" s="3087"/>
      <c r="H2" s="3087"/>
      <c r="I2" s="3087"/>
      <c r="J2" s="3087"/>
      <c r="L2" t="s">
        <v>4679</v>
      </c>
      <c r="M2">
        <v>55583</v>
      </c>
      <c r="N2" s="2946" t="s">
        <v>4681</v>
      </c>
    </row>
    <row r="3" spans="1:14" s="3055" customFormat="1" ht="28.8">
      <c r="A3" s="3088" t="s">
        <v>4661</v>
      </c>
      <c r="B3" s="3088" t="s">
        <v>4662</v>
      </c>
      <c r="C3" s="3088" t="s">
        <v>4663</v>
      </c>
      <c r="D3" s="3088" t="s">
        <v>4664</v>
      </c>
      <c r="E3" s="3088" t="s">
        <v>4665</v>
      </c>
      <c r="F3" s="3088" t="s">
        <v>4666</v>
      </c>
      <c r="G3" s="3088" t="s">
        <v>4667</v>
      </c>
      <c r="H3" s="3088" t="s">
        <v>4668</v>
      </c>
      <c r="I3" s="3088" t="s">
        <v>4669</v>
      </c>
      <c r="J3" s="3088" t="s">
        <v>4670</v>
      </c>
    </row>
    <row r="4" spans="1:14">
      <c r="A4" s="3089">
        <v>43850</v>
      </c>
      <c r="B4" s="3017" t="s">
        <v>4671</v>
      </c>
      <c r="C4" s="3017" t="s">
        <v>1326</v>
      </c>
      <c r="D4" s="3017">
        <v>570</v>
      </c>
      <c r="E4" s="3017" t="s">
        <v>4672</v>
      </c>
      <c r="F4" s="3017" t="s">
        <v>3190</v>
      </c>
      <c r="G4" s="3017" t="s">
        <v>3081</v>
      </c>
      <c r="H4" s="3017">
        <v>38</v>
      </c>
      <c r="I4" s="3017">
        <v>38</v>
      </c>
      <c r="J4" s="3017">
        <v>9911</v>
      </c>
    </row>
    <row r="5" spans="1:14">
      <c r="A5" s="3089">
        <v>43850</v>
      </c>
      <c r="B5" s="3017" t="s">
        <v>4671</v>
      </c>
      <c r="C5" s="3017" t="s">
        <v>1326</v>
      </c>
      <c r="D5" s="3017">
        <v>571</v>
      </c>
      <c r="E5" s="3017" t="s">
        <v>4672</v>
      </c>
      <c r="F5" s="3017" t="s">
        <v>3190</v>
      </c>
      <c r="G5" s="3017" t="s">
        <v>3081</v>
      </c>
      <c r="H5" s="3017">
        <v>38</v>
      </c>
      <c r="I5" s="3017">
        <v>38</v>
      </c>
      <c r="J5" s="3017">
        <v>9911</v>
      </c>
    </row>
    <row r="7" spans="1:14">
      <c r="A7" s="3090" t="s">
        <v>4676</v>
      </c>
      <c r="B7" s="3090" t="s">
        <v>4678</v>
      </c>
      <c r="C7" s="3091"/>
      <c r="D7" s="3091"/>
      <c r="E7" s="3091"/>
      <c r="F7" s="3091"/>
      <c r="G7" s="3091"/>
      <c r="H7" s="3091"/>
      <c r="I7" s="3091"/>
      <c r="J7" s="3091"/>
    </row>
    <row r="8" spans="1:14" s="2940" customFormat="1" ht="28.8">
      <c r="A8" s="3088" t="s">
        <v>4661</v>
      </c>
      <c r="B8" s="3088" t="s">
        <v>4662</v>
      </c>
      <c r="C8" s="3088" t="s">
        <v>4663</v>
      </c>
      <c r="D8" s="3088" t="s">
        <v>4664</v>
      </c>
      <c r="E8" s="3088" t="s">
        <v>4665</v>
      </c>
      <c r="F8" s="3088" t="s">
        <v>4666</v>
      </c>
      <c r="G8" s="3088" t="s">
        <v>4667</v>
      </c>
      <c r="H8" s="3088" t="s">
        <v>4668</v>
      </c>
      <c r="I8" s="3088" t="s">
        <v>4669</v>
      </c>
      <c r="J8" s="3088" t="s">
        <v>4670</v>
      </c>
    </row>
    <row r="9" spans="1:14">
      <c r="A9" s="3092">
        <v>43825</v>
      </c>
      <c r="B9" s="3091" t="s">
        <v>4674</v>
      </c>
      <c r="C9" s="3091" t="s">
        <v>1326</v>
      </c>
      <c r="D9" s="3091">
        <v>1580</v>
      </c>
      <c r="E9" s="3091" t="s">
        <v>4675</v>
      </c>
      <c r="F9" s="3091" t="s">
        <v>3190</v>
      </c>
      <c r="G9" s="3091" t="s">
        <v>3081</v>
      </c>
      <c r="H9" s="3091">
        <v>36</v>
      </c>
      <c r="I9" s="3091">
        <v>42</v>
      </c>
      <c r="J9" s="3091">
        <v>11738</v>
      </c>
    </row>
    <row r="10" spans="1:14">
      <c r="A10" s="3092">
        <v>43825</v>
      </c>
      <c r="B10" s="3091" t="s">
        <v>4674</v>
      </c>
      <c r="C10" s="3091" t="s">
        <v>1326</v>
      </c>
      <c r="D10" s="3091">
        <v>1581</v>
      </c>
      <c r="E10" s="3091" t="s">
        <v>4675</v>
      </c>
      <c r="F10" s="3091" t="s">
        <v>3190</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4682</v>
      </c>
      <c r="B13" s="3086" t="s">
        <v>4683</v>
      </c>
      <c r="C13" s="3087"/>
      <c r="D13" s="3087"/>
      <c r="E13" s="3087"/>
      <c r="F13" s="3087"/>
      <c r="G13" s="3087"/>
      <c r="H13" s="3087"/>
      <c r="I13" s="3087"/>
      <c r="J13" s="3087"/>
    </row>
    <row r="14" spans="1:14" hidden="1">
      <c r="A14" s="3091" t="s">
        <v>4661</v>
      </c>
      <c r="B14" s="3091" t="s">
        <v>4662</v>
      </c>
      <c r="C14" s="3091" t="s">
        <v>4663</v>
      </c>
      <c r="D14" s="3091" t="s">
        <v>4664</v>
      </c>
      <c r="E14" s="3091" t="s">
        <v>4665</v>
      </c>
      <c r="F14" s="3091" t="s">
        <v>4666</v>
      </c>
      <c r="G14" s="3091" t="s">
        <v>4667</v>
      </c>
      <c r="H14" s="3091" t="s">
        <v>4668</v>
      </c>
      <c r="I14" s="3091" t="s">
        <v>4669</v>
      </c>
      <c r="J14" s="3091" t="s">
        <v>4670</v>
      </c>
    </row>
    <row r="15" spans="1:14" hidden="1">
      <c r="A15" s="3092">
        <v>43845</v>
      </c>
      <c r="B15" s="3091" t="s">
        <v>4684</v>
      </c>
      <c r="C15" s="3091" t="s">
        <v>1326</v>
      </c>
      <c r="D15" s="3091">
        <v>-92</v>
      </c>
      <c r="E15" s="3091" t="s">
        <v>4685</v>
      </c>
      <c r="F15" s="3091" t="s">
        <v>3190</v>
      </c>
      <c r="G15" s="3091" t="s">
        <v>3081</v>
      </c>
      <c r="H15" s="3091">
        <v>35</v>
      </c>
      <c r="I15" s="3091">
        <v>18</v>
      </c>
      <c r="J15" s="3091">
        <v>5159</v>
      </c>
    </row>
    <row r="16" spans="1:14" hidden="1">
      <c r="A16" s="3092">
        <v>43845</v>
      </c>
      <c r="B16" s="3091" t="s">
        <v>4684</v>
      </c>
      <c r="C16" s="3091" t="s">
        <v>1326</v>
      </c>
      <c r="D16" s="3091">
        <v>-91</v>
      </c>
      <c r="E16" s="3091" t="s">
        <v>4685</v>
      </c>
      <c r="F16" s="3091" t="s">
        <v>3190</v>
      </c>
      <c r="G16" s="3091" t="s">
        <v>3081</v>
      </c>
      <c r="H16" s="3091">
        <v>35</v>
      </c>
      <c r="I16" s="3091">
        <v>18</v>
      </c>
      <c r="J16" s="3091">
        <v>5159</v>
      </c>
    </row>
    <row r="17" spans="1:10" hidden="1">
      <c r="A17" s="3092">
        <v>43845</v>
      </c>
      <c r="B17" s="3091" t="s">
        <v>4684</v>
      </c>
      <c r="C17" s="3091" t="s">
        <v>1326</v>
      </c>
      <c r="D17" s="3091">
        <v>-58</v>
      </c>
      <c r="E17" s="3091" t="s">
        <v>4685</v>
      </c>
      <c r="F17" s="3091" t="s">
        <v>3190</v>
      </c>
      <c r="G17" s="3091" t="s">
        <v>3081</v>
      </c>
      <c r="H17" s="3091">
        <v>35</v>
      </c>
      <c r="I17" s="3091">
        <v>18</v>
      </c>
      <c r="J17" s="3091">
        <v>5159</v>
      </c>
    </row>
    <row r="18" spans="1:10" hidden="1">
      <c r="A18" s="3092">
        <v>43844</v>
      </c>
      <c r="B18" s="3091" t="s">
        <v>4684</v>
      </c>
      <c r="C18" s="3091" t="s">
        <v>1326</v>
      </c>
      <c r="D18" s="3091">
        <v>-67</v>
      </c>
      <c r="E18" s="3091" t="s">
        <v>4685</v>
      </c>
      <c r="F18" s="3091" t="s">
        <v>3190</v>
      </c>
      <c r="G18" s="3091" t="s">
        <v>3081</v>
      </c>
      <c r="H18" s="3091">
        <v>35</v>
      </c>
      <c r="I18" s="3091">
        <v>18</v>
      </c>
      <c r="J18" s="3091">
        <v>5159</v>
      </c>
    </row>
    <row r="19" spans="1:10" hidden="1">
      <c r="A19" s="3092">
        <v>43844</v>
      </c>
      <c r="B19" s="3091" t="s">
        <v>4684</v>
      </c>
      <c r="C19" s="3091" t="s">
        <v>1326</v>
      </c>
      <c r="D19" s="3091">
        <v>-83</v>
      </c>
      <c r="E19" s="3091" t="s">
        <v>4685</v>
      </c>
      <c r="F19" s="3091" t="s">
        <v>3190</v>
      </c>
      <c r="G19" s="3091" t="s">
        <v>3081</v>
      </c>
      <c r="H19" s="3091">
        <v>35</v>
      </c>
      <c r="I19" s="3091">
        <v>18</v>
      </c>
      <c r="J19" s="3091">
        <v>5159</v>
      </c>
    </row>
    <row r="20" spans="1:10" hidden="1"/>
    <row r="21" spans="1:10" hidden="1"/>
    <row r="22" spans="1:10">
      <c r="A22" s="3016" t="s">
        <v>4688</v>
      </c>
      <c r="B22" s="3017"/>
      <c r="C22" s="3017"/>
      <c r="D22" s="3017"/>
      <c r="E22" s="3017"/>
      <c r="F22" s="3017"/>
      <c r="G22" s="3017"/>
      <c r="H22" s="3017"/>
      <c r="I22" s="3017"/>
      <c r="J22" s="3017"/>
    </row>
    <row r="23" spans="1:10">
      <c r="A23" s="3017" t="s">
        <v>4661</v>
      </c>
      <c r="B23" s="3017" t="s">
        <v>4662</v>
      </c>
      <c r="C23" s="3017" t="s">
        <v>4663</v>
      </c>
      <c r="D23" s="3017" t="s">
        <v>4664</v>
      </c>
      <c r="E23" s="3017" t="s">
        <v>4665</v>
      </c>
      <c r="F23" s="3017" t="s">
        <v>4666</v>
      </c>
      <c r="G23" s="3017" t="s">
        <v>4667</v>
      </c>
      <c r="H23" s="3017" t="s">
        <v>4668</v>
      </c>
      <c r="I23" s="3017" t="s">
        <v>4669</v>
      </c>
      <c r="J23" s="3017" t="s">
        <v>4670</v>
      </c>
    </row>
    <row r="24" spans="1:10">
      <c r="A24" s="3089">
        <v>43781</v>
      </c>
      <c r="B24" s="3017" t="s">
        <v>4686</v>
      </c>
      <c r="C24" s="3017" t="s">
        <v>1326</v>
      </c>
      <c r="D24" s="3017">
        <v>222</v>
      </c>
      <c r="E24" s="3017" t="s">
        <v>4687</v>
      </c>
      <c r="F24" s="3017" t="s">
        <v>3190</v>
      </c>
      <c r="G24" s="3017" t="s">
        <v>3081</v>
      </c>
      <c r="H24" s="3017">
        <v>53</v>
      </c>
      <c r="I24" s="3017">
        <v>40</v>
      </c>
      <c r="J24" s="3017">
        <v>7583</v>
      </c>
    </row>
    <row r="25" spans="1:10">
      <c r="A25" s="3089">
        <v>43781</v>
      </c>
      <c r="B25" s="3017" t="s">
        <v>4686</v>
      </c>
      <c r="C25" s="3017" t="s">
        <v>1326</v>
      </c>
      <c r="D25" s="3017">
        <v>221</v>
      </c>
      <c r="E25" s="3017" t="s">
        <v>4687</v>
      </c>
      <c r="F25" s="3017" t="s">
        <v>3190</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9" sqref="G39"/>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8" customWidth="1"/>
    <col min="12" max="12" width="16.33203125" style="300" customWidth="1"/>
    <col min="13" max="13" width="13" style="300" customWidth="1"/>
    <col min="14" max="14" width="13.77734375" style="1836" customWidth="1"/>
    <col min="15" max="15" width="5.109375" style="1836" customWidth="1"/>
    <col min="16" max="16" width="25.77734375" style="1836" customWidth="1"/>
    <col min="17" max="17" width="13.77734375" style="1836" customWidth="1"/>
    <col min="18" max="18" width="20.44140625" style="1836" customWidth="1"/>
    <col min="19" max="19" width="13.21875" style="1836" customWidth="1"/>
    <col min="20" max="37" width="9" style="1836"/>
    <col min="38" max="16384" width="9" style="300"/>
  </cols>
  <sheetData>
    <row r="1" spans="1:37" s="335" customFormat="1" ht="21.6">
      <c r="A1" s="1827" t="s">
        <v>1583</v>
      </c>
      <c r="B1" s="780"/>
      <c r="C1" s="1831" t="s">
        <v>4715</v>
      </c>
      <c r="D1" s="1814" t="s">
        <v>4526</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80" t="s">
        <v>1397</v>
      </c>
      <c r="C6" s="1292">
        <f ca="1">ROUND(F6*F8*F7*(1-F9)/10000,0)</f>
        <v>271</v>
      </c>
      <c r="D6" s="162" t="s">
        <v>3012</v>
      </c>
      <c r="E6" s="345" t="s">
        <v>1399</v>
      </c>
      <c r="F6" s="346">
        <f ca="1">INDIRECT("'数据-取费表'!u"&amp;$G$1)</f>
        <v>1.5</v>
      </c>
      <c r="G6" s="1845"/>
      <c r="H6" s="1287" t="s">
        <v>1031</v>
      </c>
      <c r="I6" s="3380" t="s">
        <v>1397</v>
      </c>
      <c r="J6" s="344">
        <f ca="1">ROUND(M6*M8*M7*(1-M9)/10000,0)</f>
        <v>0</v>
      </c>
      <c r="K6" s="162" t="s">
        <v>3011</v>
      </c>
      <c r="L6" s="345" t="s">
        <v>1399</v>
      </c>
      <c r="M6" s="346">
        <f ca="1">INDIRECT("'数据-取费表'!z"&amp;$G$1)</f>
        <v>0</v>
      </c>
    </row>
    <row r="7" spans="1:37" ht="18" customHeight="1">
      <c r="A7" s="1291"/>
      <c r="B7" s="3381"/>
      <c r="C7" s="1293"/>
      <c r="D7" s="350"/>
      <c r="E7" s="2958" t="s">
        <v>1400</v>
      </c>
      <c r="F7" s="346">
        <f ca="1">IF(INDIRECT("'数据-取费表'!ah"&amp;$G$1)="",INDIRECT("'数据-取费表'!k"&amp;$G$1),INDIRECT("'数据-取费表'!ah"&amp;$G$1))</f>
        <v>5827.19</v>
      </c>
      <c r="G7" s="1845"/>
      <c r="H7" s="347"/>
      <c r="I7" s="3381"/>
      <c r="J7" s="349"/>
      <c r="K7" s="350"/>
      <c r="L7" s="345" t="s">
        <v>1400</v>
      </c>
      <c r="M7" s="346">
        <f ca="1">F7</f>
        <v>5827.19</v>
      </c>
    </row>
    <row r="8" spans="1:37" ht="18" customHeight="1">
      <c r="A8" s="347"/>
      <c r="B8" s="3381"/>
      <c r="C8" s="349"/>
      <c r="D8" s="350"/>
      <c r="E8" s="345" t="s">
        <v>1401</v>
      </c>
      <c r="F8" s="346">
        <f ca="1">INDIRECT("'数据-取费表'!ai"&amp;$G$1)</f>
        <v>365</v>
      </c>
      <c r="G8" s="1845"/>
      <c r="H8" s="347"/>
      <c r="I8" s="3381"/>
      <c r="J8" s="349"/>
      <c r="K8" s="350"/>
      <c r="L8" s="345" t="s">
        <v>1401</v>
      </c>
      <c r="M8" s="346">
        <f ca="1">INDIRECT("'数据-取费表'!ai"&amp;$G$1)</f>
        <v>365</v>
      </c>
    </row>
    <row r="9" spans="1:37" ht="18" customHeight="1">
      <c r="A9" s="347"/>
      <c r="B9" s="3382"/>
      <c r="C9" s="349"/>
      <c r="D9" s="350"/>
      <c r="E9" s="345" t="s">
        <v>1402</v>
      </c>
      <c r="F9" s="355">
        <f ca="1">INDIRECT("'数据-取费表'!w"&amp;$G$1)</f>
        <v>0.15</v>
      </c>
      <c r="G9" s="1845"/>
      <c r="H9" s="347"/>
      <c r="I9" s="3382"/>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8"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8"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40.200000000000003"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8"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8"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8"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8"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36.6"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8" t="s">
        <v>1542</v>
      </c>
      <c r="L53" s="3379"/>
      <c r="O53" s="1878" t="s">
        <v>1042</v>
      </c>
      <c r="P53" s="1879" t="s">
        <v>1543</v>
      </c>
      <c r="Q53" s="1880">
        <f ca="1">Q47+Q48</f>
        <v>3657</v>
      </c>
      <c r="R53" s="1880" t="s">
        <v>1043</v>
      </c>
    </row>
    <row r="54" spans="1:18" s="1836" customFormat="1" ht="24.6"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8"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37.200000000000003" thickTop="1" thickBot="1">
      <c r="A56" s="1172">
        <v>2</v>
      </c>
      <c r="B56" s="1173" t="s">
        <v>1408</v>
      </c>
      <c r="C56" s="274">
        <f ca="1">C13</f>
        <v>2022</v>
      </c>
      <c r="D56" s="1907"/>
      <c r="E56" s="1908"/>
      <c r="F56" s="1900"/>
      <c r="I56" s="1909" t="s">
        <v>1548</v>
      </c>
      <c r="J56" s="1910" t="s">
        <v>4433</v>
      </c>
      <c r="K56" s="1881" t="s">
        <v>1549</v>
      </c>
      <c r="L56" s="1884" t="str">
        <f ca="1">IF(L48&lt;J51,"——",L48-J53)</f>
        <v>——</v>
      </c>
      <c r="O56" s="1878" t="s">
        <v>1036</v>
      </c>
      <c r="P56" s="1879" t="s">
        <v>1522</v>
      </c>
      <c r="Q56" s="1880">
        <f ca="1">C40+J29</f>
        <v>3657</v>
      </c>
      <c r="R56" s="1880" t="s">
        <v>1523</v>
      </c>
    </row>
    <row r="57" spans="1:18" s="1836" customFormat="1" ht="24.6"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6"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6"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2"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8"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8"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8"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8"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8"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2"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24.6"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2"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8"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8" thickBot="1">
      <c r="A70" s="1169"/>
      <c r="B70" s="1170"/>
      <c r="C70" s="353"/>
      <c r="D70" s="1181"/>
      <c r="E70" s="1165" t="s">
        <v>1471</v>
      </c>
      <c r="F70" s="1271"/>
      <c r="O70" s="1888" t="s">
        <v>1045</v>
      </c>
      <c r="P70" s="1927" t="s">
        <v>1579</v>
      </c>
      <c r="Q70" s="1880">
        <f ca="1">C13</f>
        <v>2022</v>
      </c>
      <c r="R70" s="1880" t="s">
        <v>1523</v>
      </c>
    </row>
    <row r="71" spans="1:18" s="1836" customFormat="1" ht="13.8"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8" thickBot="1">
      <c r="B72" s="794"/>
      <c r="C72" s="794"/>
      <c r="O72" s="1888" t="s">
        <v>1040</v>
      </c>
      <c r="P72" s="1879" t="s">
        <v>1558</v>
      </c>
      <c r="Q72" s="1891">
        <f>L52</f>
        <v>0</v>
      </c>
      <c r="R72" s="1880"/>
    </row>
    <row r="73" spans="1:18" ht="16.2" thickBot="1">
      <c r="A73" s="1836"/>
      <c r="B73" s="794"/>
      <c r="C73" s="794"/>
      <c r="D73" s="1836"/>
      <c r="E73" s="1836"/>
      <c r="F73" s="1836"/>
      <c r="O73" s="1888" t="s">
        <v>1041</v>
      </c>
      <c r="P73" s="1879" t="s">
        <v>1561</v>
      </c>
      <c r="Q73" s="1880" t="e">
        <f ca="1">L58</f>
        <v>#DIV/0!</v>
      </c>
      <c r="R73" s="1880" t="s">
        <v>1562</v>
      </c>
    </row>
    <row r="74" spans="1:18" ht="13.8"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8"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8" customWidth="1"/>
    <col min="2" max="2" width="12" style="1938" customWidth="1"/>
    <col min="3" max="3" width="9" style="1938"/>
    <col min="4" max="4" width="14.109375" style="1938" customWidth="1"/>
    <col min="5" max="5" width="9" style="1938"/>
    <col min="6" max="6" width="12.88671875" style="1938" customWidth="1"/>
    <col min="7" max="16384" width="9" style="1938"/>
  </cols>
  <sheetData>
    <row r="1" spans="1:6" ht="21.6">
      <c r="A1" s="2545" t="s">
        <v>2508</v>
      </c>
      <c r="B1" s="2546"/>
      <c r="C1" s="2546"/>
      <c r="D1" s="2546"/>
      <c r="E1" s="2547"/>
    </row>
    <row r="2" spans="1:6" ht="15.6">
      <c r="A2" s="2548" t="s">
        <v>2312</v>
      </c>
      <c r="B2" s="2549">
        <f ca="1">SUMIF(B6:B13,"&lt;&gt;#ref!",B6:B13)</f>
        <v>50879</v>
      </c>
      <c r="C2" s="2550" t="s">
        <v>2501</v>
      </c>
      <c r="D2" s="2551" t="s">
        <v>2502</v>
      </c>
      <c r="E2" s="2552">
        <f>SUM(E6:E13)</f>
        <v>61622.53</v>
      </c>
    </row>
    <row r="3" spans="1:6" ht="15.6">
      <c r="A3" s="2548" t="s">
        <v>1389</v>
      </c>
      <c r="B3" s="2549">
        <f ca="1">ROUND(B2*10000/E2,0)</f>
        <v>8257</v>
      </c>
      <c r="C3" s="2550" t="s">
        <v>2509</v>
      </c>
      <c r="D3" s="2553"/>
      <c r="E3" s="2554"/>
    </row>
    <row r="4" spans="1:6" ht="15.6">
      <c r="A4" s="2555"/>
      <c r="B4" s="2553"/>
      <c r="C4" s="2553"/>
      <c r="D4" s="2553"/>
      <c r="E4" s="2554"/>
    </row>
    <row r="5" spans="1:6" ht="14.4">
      <c r="A5" s="2556" t="s">
        <v>2503</v>
      </c>
      <c r="B5" s="3385" t="s">
        <v>2504</v>
      </c>
      <c r="C5" s="3385"/>
      <c r="D5" s="2557"/>
      <c r="E5" s="2558" t="s">
        <v>2505</v>
      </c>
      <c r="F5" s="2559" t="s">
        <v>2506</v>
      </c>
    </row>
    <row r="6" spans="1:6" ht="14.4">
      <c r="A6" s="2560">
        <f>'数据-取费表'!AN6</f>
        <v>0</v>
      </c>
      <c r="B6" s="2559" t="e">
        <f ca="1">IF(F6="是",'数据-取费表'!AO6,0)</f>
        <v>#REF!</v>
      </c>
      <c r="C6" s="2550" t="s">
        <v>2501</v>
      </c>
      <c r="D6" s="2553"/>
      <c r="E6" s="2561">
        <f>IF(OR(A6=0,F6="否"),0,'数据-取费表'!K6+'数据-取费表'!S6)</f>
        <v>0</v>
      </c>
      <c r="F6" s="2562" t="s">
        <v>2507</v>
      </c>
    </row>
    <row r="7" spans="1:6" ht="14.4">
      <c r="A7" s="2560">
        <f>'数据-取费表'!AN7</f>
        <v>0</v>
      </c>
      <c r="B7" s="2559" t="e">
        <f ca="1">IF(F7="是",'数据-取费表'!AO7,0)</f>
        <v>#REF!</v>
      </c>
      <c r="C7" s="2550" t="s">
        <v>2501</v>
      </c>
      <c r="D7" s="2553"/>
      <c r="E7" s="2561">
        <f>IF(OR(A7=0,F7="否"),0,'数据-取费表'!K7+'数据-取费表'!S7)</f>
        <v>0</v>
      </c>
      <c r="F7" s="2562" t="s">
        <v>2507</v>
      </c>
    </row>
    <row r="8" spans="1:6" ht="14.4">
      <c r="A8" s="2560" t="str">
        <f>'数据-取费表'!AN8</f>
        <v>收益法（自持住宅）</v>
      </c>
      <c r="B8" s="2559">
        <f ca="1">IF(F8="是",'数据-取费表'!AO8,0)</f>
        <v>45806</v>
      </c>
      <c r="C8" s="2550" t="s">
        <v>2501</v>
      </c>
      <c r="D8" s="2553"/>
      <c r="E8" s="2561">
        <f>IF(OR(A8=0,F8="否"),0,'数据-取费表'!K8+'数据-取费表'!S8)</f>
        <v>32976.26</v>
      </c>
      <c r="F8" s="2562" t="s">
        <v>2507</v>
      </c>
    </row>
    <row r="9" spans="1:6" ht="14.4">
      <c r="A9" s="2560" t="str">
        <f>'数据-取费表'!AN9</f>
        <v>收益法（商业）</v>
      </c>
      <c r="B9" s="2559">
        <f ca="1">IF(F9="是",'数据-取费表'!AO9,0)</f>
        <v>1435</v>
      </c>
      <c r="C9" s="2550" t="s">
        <v>2501</v>
      </c>
      <c r="D9" s="2553"/>
      <c r="E9" s="2561">
        <f>IF(OR(A9=0,F9="否"),0,'数据-取费表'!K9+'数据-取费表'!S9)</f>
        <v>657.68000000000006</v>
      </c>
      <c r="F9" s="2562" t="s">
        <v>2507</v>
      </c>
    </row>
    <row r="10" spans="1:6" ht="14.4">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ht="14.4">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ht="14.4">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402" t="s">
        <v>1072</v>
      </c>
      <c r="B1" s="3403"/>
      <c r="C1" s="3404"/>
      <c r="D1" s="3405">
        <f>SUM(I10,I15,I20,I21,I23)</f>
        <v>0</v>
      </c>
      <c r="E1" s="3405"/>
      <c r="F1" s="3405"/>
      <c r="G1" s="3405"/>
      <c r="H1" s="3405"/>
      <c r="I1" s="3406"/>
    </row>
    <row r="2" spans="1:9">
      <c r="A2" s="3392" t="s">
        <v>1073</v>
      </c>
      <c r="B2" s="3393" t="s">
        <v>1074</v>
      </c>
      <c r="C2" s="3393"/>
      <c r="D2" s="1297" t="s">
        <v>1075</v>
      </c>
      <c r="E2" s="1297" t="s">
        <v>1076</v>
      </c>
      <c r="F2" s="1297" t="s">
        <v>1077</v>
      </c>
      <c r="G2" s="1297" t="s">
        <v>1078</v>
      </c>
      <c r="H2" s="1297" t="s">
        <v>1079</v>
      </c>
      <c r="I2" s="1298" t="s">
        <v>1080</v>
      </c>
    </row>
    <row r="3" spans="1:9">
      <c r="A3" s="3392"/>
      <c r="B3" s="3393" t="s">
        <v>1081</v>
      </c>
      <c r="C3" s="3393"/>
      <c r="D3" s="1299"/>
      <c r="E3" s="1297"/>
      <c r="F3" s="1300"/>
      <c r="G3" s="1300"/>
      <c r="H3" s="1301"/>
      <c r="I3" s="1302">
        <f>ROUND(D3*E3*F3*G3*H3/10000,0)</f>
        <v>0</v>
      </c>
    </row>
    <row r="4" spans="1:9">
      <c r="A4" s="3392"/>
      <c r="B4" s="3393" t="s">
        <v>1082</v>
      </c>
      <c r="C4" s="3393"/>
      <c r="D4" s="1299"/>
      <c r="E4" s="1297"/>
      <c r="F4" s="1300"/>
      <c r="G4" s="1300"/>
      <c r="H4" s="1301"/>
      <c r="I4" s="1302">
        <f t="shared" ref="I4:I9" si="0">ROUND(D4*E4*F4*G4*H4/10000,0)</f>
        <v>0</v>
      </c>
    </row>
    <row r="5" spans="1:9">
      <c r="A5" s="3392"/>
      <c r="B5" s="3393" t="s">
        <v>1083</v>
      </c>
      <c r="C5" s="3393"/>
      <c r="D5" s="1299"/>
      <c r="E5" s="1297"/>
      <c r="F5" s="1300"/>
      <c r="G5" s="1300"/>
      <c r="H5" s="1301"/>
      <c r="I5" s="1302">
        <f t="shared" si="0"/>
        <v>0</v>
      </c>
    </row>
    <row r="6" spans="1:9">
      <c r="A6" s="3392"/>
      <c r="B6" s="3393" t="s">
        <v>1084</v>
      </c>
      <c r="C6" s="3393"/>
      <c r="D6" s="1299"/>
      <c r="E6" s="1297"/>
      <c r="F6" s="1300"/>
      <c r="G6" s="1300"/>
      <c r="H6" s="1301"/>
      <c r="I6" s="1302">
        <f t="shared" si="0"/>
        <v>0</v>
      </c>
    </row>
    <row r="7" spans="1:9">
      <c r="A7" s="3392"/>
      <c r="B7" s="3393" t="s">
        <v>1085</v>
      </c>
      <c r="C7" s="3393"/>
      <c r="D7" s="1299"/>
      <c r="E7" s="1297"/>
      <c r="F7" s="1300"/>
      <c r="G7" s="1300"/>
      <c r="H7" s="1301"/>
      <c r="I7" s="1302">
        <f t="shared" si="0"/>
        <v>0</v>
      </c>
    </row>
    <row r="8" spans="1:9">
      <c r="A8" s="3392"/>
      <c r="B8" s="3393" t="s">
        <v>1086</v>
      </c>
      <c r="C8" s="3393"/>
      <c r="D8" s="1299"/>
      <c r="E8" s="1297"/>
      <c r="F8" s="1300"/>
      <c r="G8" s="1300"/>
      <c r="H8" s="1301"/>
      <c r="I8" s="1302">
        <f t="shared" si="0"/>
        <v>0</v>
      </c>
    </row>
    <row r="9" spans="1:9">
      <c r="A9" s="3392"/>
      <c r="B9" s="3393" t="s">
        <v>1087</v>
      </c>
      <c r="C9" s="3393"/>
      <c r="D9" s="1299"/>
      <c r="E9" s="1297"/>
      <c r="F9" s="1300"/>
      <c r="G9" s="1300"/>
      <c r="H9" s="1301"/>
      <c r="I9" s="1302">
        <f t="shared" si="0"/>
        <v>0</v>
      </c>
    </row>
    <row r="10" spans="1:9">
      <c r="A10" s="3392"/>
      <c r="B10" s="3394" t="s">
        <v>1088</v>
      </c>
      <c r="C10" s="3394"/>
      <c r="D10" s="1303"/>
      <c r="E10" s="1303" t="e">
        <f>ROUND(D1*10000/D10/H9,0)</f>
        <v>#DIV/0!</v>
      </c>
      <c r="F10" s="1304"/>
      <c r="G10" s="1304"/>
      <c r="H10" s="1305"/>
      <c r="I10" s="1306">
        <f>SUM(I3:I9)</f>
        <v>0</v>
      </c>
    </row>
    <row r="11" spans="1:9" ht="15.6">
      <c r="A11" s="3392" t="s">
        <v>1089</v>
      </c>
      <c r="B11" s="3393" t="s">
        <v>1090</v>
      </c>
      <c r="C11" s="3393"/>
      <c r="D11" s="1299" t="s">
        <v>1091</v>
      </c>
      <c r="E11" s="1299" t="s">
        <v>1092</v>
      </c>
      <c r="F11" s="1300" t="s">
        <v>1093</v>
      </c>
      <c r="G11" s="1300" t="s">
        <v>1079</v>
      </c>
      <c r="H11" s="1307" t="s">
        <v>1094</v>
      </c>
      <c r="I11" s="1298" t="s">
        <v>1080</v>
      </c>
    </row>
    <row r="12" spans="1:9">
      <c r="A12" s="3392"/>
      <c r="B12" s="3393" t="s">
        <v>1095</v>
      </c>
      <c r="C12" s="3393"/>
      <c r="D12" s="1299"/>
      <c r="E12" s="1299"/>
      <c r="F12" s="1300"/>
      <c r="G12" s="1301"/>
      <c r="H12" s="1308"/>
      <c r="I12" s="1298">
        <f>ROUND(D12*E12*F12*G12/10000,0)</f>
        <v>0</v>
      </c>
    </row>
    <row r="13" spans="1:9">
      <c r="A13" s="3392"/>
      <c r="B13" s="3393" t="s">
        <v>1096</v>
      </c>
      <c r="C13" s="3393"/>
      <c r="D13" s="1299"/>
      <c r="E13" s="1299"/>
      <c r="F13" s="1300"/>
      <c r="G13" s="1301"/>
      <c r="H13" s="1308"/>
      <c r="I13" s="1298">
        <f>ROUND(D13*E13*F13*G13/10000,0)</f>
        <v>0</v>
      </c>
    </row>
    <row r="14" spans="1:9">
      <c r="A14" s="3392"/>
      <c r="B14" s="3393" t="s">
        <v>1097</v>
      </c>
      <c r="C14" s="3393"/>
      <c r="D14" s="1299"/>
      <c r="E14" s="1299"/>
      <c r="F14" s="1300"/>
      <c r="G14" s="1301"/>
      <c r="H14" s="1308"/>
      <c r="I14" s="1298">
        <f>ROUND(D14*E14*F14*G14/10000,0)</f>
        <v>0</v>
      </c>
    </row>
    <row r="15" spans="1:9">
      <c r="A15" s="3392"/>
      <c r="B15" s="3394" t="s">
        <v>1088</v>
      </c>
      <c r="C15" s="3394"/>
      <c r="D15" s="1303"/>
      <c r="E15" s="1303">
        <f>SUM(E12:E14)</f>
        <v>0</v>
      </c>
      <c r="F15" s="1304"/>
      <c r="G15" s="1301"/>
      <c r="H15" s="1308"/>
      <c r="I15" s="1309">
        <f>SUM(I12:I14)</f>
        <v>0</v>
      </c>
    </row>
    <row r="16" spans="1:9" ht="24">
      <c r="A16" s="3392" t="s">
        <v>1098</v>
      </c>
      <c r="B16" s="3393" t="s">
        <v>1099</v>
      </c>
      <c r="C16" s="3393"/>
      <c r="D16" s="1299" t="s">
        <v>1075</v>
      </c>
      <c r="E16" s="1310" t="s">
        <v>1100</v>
      </c>
      <c r="F16" s="1300" t="s">
        <v>1101</v>
      </c>
      <c r="G16" s="1301" t="s">
        <v>1079</v>
      </c>
      <c r="H16" s="1307" t="s">
        <v>1094</v>
      </c>
      <c r="I16" s="1298" t="s">
        <v>1080</v>
      </c>
    </row>
    <row r="17" spans="1:9" ht="15.6">
      <c r="A17" s="3392"/>
      <c r="B17" s="3393" t="s">
        <v>1102</v>
      </c>
      <c r="C17" s="3393"/>
      <c r="D17" s="1299"/>
      <c r="E17" s="1299"/>
      <c r="F17" s="1300"/>
      <c r="G17" s="1301"/>
      <c r="H17" s="1311"/>
      <c r="I17" s="1312">
        <f>ROUND(D17*E17*F17*G17/10000,0)</f>
        <v>0</v>
      </c>
    </row>
    <row r="18" spans="1:9" ht="15.6">
      <c r="A18" s="3392"/>
      <c r="B18" s="3393" t="s">
        <v>1103</v>
      </c>
      <c r="C18" s="3393"/>
      <c r="D18" s="1299"/>
      <c r="E18" s="1299"/>
      <c r="F18" s="1300"/>
      <c r="G18" s="1301"/>
      <c r="H18" s="1311"/>
      <c r="I18" s="1312">
        <f>ROUND(D18*E18*F18*G18/10000,0)</f>
        <v>0</v>
      </c>
    </row>
    <row r="19" spans="1:9" ht="15.6">
      <c r="A19" s="3392"/>
      <c r="B19" s="3393" t="s">
        <v>1104</v>
      </c>
      <c r="C19" s="3393"/>
      <c r="D19" s="1299"/>
      <c r="E19" s="1299"/>
      <c r="F19" s="1300"/>
      <c r="G19" s="1301"/>
      <c r="H19" s="1311"/>
      <c r="I19" s="1312">
        <f>ROUND(D19*E19*F19*G19/10000,0)</f>
        <v>0</v>
      </c>
    </row>
    <row r="20" spans="1:9">
      <c r="A20" s="3392"/>
      <c r="B20" s="3394" t="s">
        <v>1088</v>
      </c>
      <c r="C20" s="3394"/>
      <c r="D20" s="1303">
        <f>SUM(D17:D19)</f>
        <v>0</v>
      </c>
      <c r="E20" s="1303"/>
      <c r="F20" s="1304"/>
      <c r="G20" s="1301"/>
      <c r="H20" s="1308"/>
      <c r="I20" s="1309">
        <f>SUM(I17:I19)</f>
        <v>0</v>
      </c>
    </row>
    <row r="21" spans="1:9">
      <c r="A21" s="3392" t="s">
        <v>1105</v>
      </c>
      <c r="B21" s="3395"/>
      <c r="C21" s="3395"/>
      <c r="D21" s="3395"/>
      <c r="E21" s="3395"/>
      <c r="F21" s="3395"/>
      <c r="G21" s="3395"/>
      <c r="H21" s="1759">
        <v>0.1</v>
      </c>
      <c r="I21" s="1306">
        <f>ROUND(I10*H21,0)</f>
        <v>0</v>
      </c>
    </row>
    <row r="22" spans="1:9" ht="15.6">
      <c r="A22" s="3396" t="s">
        <v>1106</v>
      </c>
      <c r="B22" s="3397"/>
      <c r="C22" s="3398"/>
      <c r="D22" s="1313" t="s">
        <v>1107</v>
      </c>
      <c r="E22" s="1313" t="s">
        <v>1108</v>
      </c>
      <c r="F22" s="1314" t="s">
        <v>1109</v>
      </c>
      <c r="G22" s="1314" t="s">
        <v>1110</v>
      </c>
      <c r="H22" s="1307" t="s">
        <v>1111</v>
      </c>
      <c r="I22" s="1298" t="s">
        <v>1112</v>
      </c>
    </row>
    <row r="23" spans="1:9" ht="15" thickBot="1">
      <c r="A23" s="3399"/>
      <c r="B23" s="3400"/>
      <c r="C23" s="3401"/>
      <c r="D23" s="1315"/>
      <c r="E23" s="1315"/>
      <c r="F23" s="1315"/>
      <c r="G23" s="1316"/>
      <c r="H23" s="1317"/>
      <c r="I23" s="1318">
        <f>ROUND(E23*D23*F23*(1-G23)/10000,0)</f>
        <v>0</v>
      </c>
    </row>
    <row r="26" spans="1:9">
      <c r="A26" s="1319" t="s">
        <v>1113</v>
      </c>
      <c r="B26" s="1319"/>
      <c r="C26" s="1319"/>
      <c r="D26" s="1319"/>
      <c r="E26" s="3389">
        <f>C27-C30-C31-C32</f>
        <v>0</v>
      </c>
      <c r="F26" s="3389"/>
      <c r="G26" s="3389"/>
      <c r="H26" s="1731" t="s">
        <v>1335</v>
      </c>
    </row>
    <row r="27" spans="1:9">
      <c r="A27" s="1320">
        <v>1</v>
      </c>
      <c r="B27" s="1321" t="s">
        <v>1114</v>
      </c>
      <c r="C27" s="1321">
        <f>C28+C29</f>
        <v>0</v>
      </c>
      <c r="D27" s="1321"/>
      <c r="E27" s="3390"/>
      <c r="F27" s="3390"/>
      <c r="G27" s="3390"/>
    </row>
    <row r="28" spans="1:9">
      <c r="A28" s="1322" t="s">
        <v>1115</v>
      </c>
      <c r="B28" s="1321" t="s">
        <v>1116</v>
      </c>
      <c r="C28" s="1321"/>
      <c r="D28" s="1321"/>
      <c r="E28" s="3390"/>
      <c r="F28" s="3390"/>
      <c r="G28" s="3390"/>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91"/>
      <c r="F32" s="3391"/>
      <c r="G32" s="3391"/>
    </row>
    <row r="33" spans="1:7" hidden="1">
      <c r="A33" s="3386" t="s">
        <v>1125</v>
      </c>
      <c r="B33" s="3387"/>
      <c r="C33" s="3387"/>
      <c r="D33" s="3388"/>
      <c r="E33" s="3389"/>
      <c r="F33" s="3389"/>
      <c r="G33" s="3389"/>
    </row>
    <row r="34" spans="1:7" hidden="1">
      <c r="A34" s="1324">
        <v>1</v>
      </c>
      <c r="B34" s="1321" t="s">
        <v>1126</v>
      </c>
      <c r="C34" s="1321"/>
      <c r="D34" s="1321"/>
      <c r="E34" s="3390"/>
      <c r="F34" s="3390"/>
      <c r="G34" s="3390"/>
    </row>
    <row r="35" spans="1:7" hidden="1">
      <c r="A35" s="1324">
        <v>2</v>
      </c>
      <c r="B35" s="1321" t="s">
        <v>1127</v>
      </c>
      <c r="C35" s="1321"/>
      <c r="D35" s="1321"/>
      <c r="E35" s="3390"/>
      <c r="F35" s="3390"/>
      <c r="G35" s="3390"/>
    </row>
    <row r="36" spans="1:7" hidden="1">
      <c r="A36" s="1324">
        <v>3</v>
      </c>
      <c r="B36" s="1321" t="s">
        <v>1128</v>
      </c>
      <c r="C36" s="1321"/>
      <c r="D36" s="1321"/>
      <c r="E36" s="3390"/>
      <c r="F36" s="3390"/>
      <c r="G36" s="3390"/>
    </row>
    <row r="37" spans="1:7" hidden="1">
      <c r="A37" s="1324">
        <v>4</v>
      </c>
      <c r="B37" s="1321" t="s">
        <v>1129</v>
      </c>
      <c r="C37" s="1321"/>
      <c r="D37" s="1321"/>
      <c r="E37" s="3390"/>
      <c r="F37" s="3390"/>
      <c r="G37" s="3390"/>
    </row>
    <row r="38" spans="1:7" hidden="1">
      <c r="A38" s="3386" t="s">
        <v>1130</v>
      </c>
      <c r="B38" s="3387"/>
      <c r="C38" s="3387"/>
      <c r="D38" s="3388"/>
      <c r="E38" s="3389"/>
      <c r="F38" s="3389"/>
      <c r="G38" s="33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8"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4.4">
      <c r="A4" s="399" t="s">
        <v>2517</v>
      </c>
      <c r="B4" s="400"/>
      <c r="C4" s="3339" t="s">
        <v>2518</v>
      </c>
      <c r="D4" s="3352"/>
      <c r="E4" s="3353" t="s">
        <v>2519</v>
      </c>
      <c r="F4" s="3354"/>
      <c r="G4" s="3339" t="s">
        <v>2520</v>
      </c>
      <c r="H4" s="3352"/>
      <c r="I4" s="3339" t="s">
        <v>2521</v>
      </c>
      <c r="J4" s="3352"/>
      <c r="K4" s="2580" t="s">
        <v>2522</v>
      </c>
      <c r="L4" s="1126"/>
      <c r="M4" s="1127"/>
      <c r="N4" s="1127"/>
      <c r="O4" s="1127"/>
      <c r="P4" s="3355" t="s">
        <v>2523</v>
      </c>
      <c r="Q4" s="3356"/>
      <c r="R4" s="3361" t="s">
        <v>2519</v>
      </c>
      <c r="S4" s="3362"/>
      <c r="T4" s="3361" t="s">
        <v>2520</v>
      </c>
      <c r="U4" s="3362"/>
      <c r="V4" s="3348" t="s">
        <v>2521</v>
      </c>
      <c r="W4" s="3348"/>
      <c r="X4" s="1807"/>
      <c r="Y4" s="3361" t="s">
        <v>2523</v>
      </c>
      <c r="Z4" s="3362"/>
      <c r="AA4" s="3349" t="s">
        <v>2519</v>
      </c>
      <c r="AB4" s="3349" t="s">
        <v>2520</v>
      </c>
      <c r="AC4" s="3349" t="s">
        <v>2521</v>
      </c>
    </row>
    <row r="5" spans="1:29">
      <c r="A5" s="402"/>
      <c r="B5" s="403"/>
      <c r="C5" s="3369" t="s">
        <v>2524</v>
      </c>
      <c r="D5" s="3370"/>
      <c r="E5" s="3376" t="s">
        <v>2525</v>
      </c>
      <c r="F5" s="3377"/>
      <c r="G5" s="3369" t="s">
        <v>2526</v>
      </c>
      <c r="H5" s="3370"/>
      <c r="I5" s="3369" t="s">
        <v>2527</v>
      </c>
      <c r="J5" s="3370"/>
      <c r="K5" s="2581"/>
      <c r="L5" s="1126"/>
      <c r="M5" s="1127"/>
      <c r="N5" s="1127"/>
      <c r="O5" s="1127"/>
      <c r="P5" s="3357"/>
      <c r="Q5" s="3358"/>
      <c r="R5" s="3363"/>
      <c r="S5" s="3364"/>
      <c r="T5" s="3363"/>
      <c r="U5" s="3364"/>
      <c r="V5" s="3348"/>
      <c r="W5" s="3348"/>
      <c r="X5" s="1807"/>
      <c r="Y5" s="3363"/>
      <c r="Z5" s="3364"/>
      <c r="AA5" s="3350"/>
      <c r="AB5" s="3350"/>
      <c r="AC5" s="3350"/>
    </row>
    <row r="6" spans="1:29" ht="15" thickBot="1">
      <c r="A6" s="404"/>
      <c r="B6" s="405"/>
      <c r="C6" s="3367" t="s">
        <v>2528</v>
      </c>
      <c r="D6" s="3368"/>
      <c r="E6" s="3374" t="s">
        <v>2528</v>
      </c>
      <c r="F6" s="3375"/>
      <c r="G6" s="3367" t="s">
        <v>2528</v>
      </c>
      <c r="H6" s="3368"/>
      <c r="I6" s="3367" t="s">
        <v>2528</v>
      </c>
      <c r="J6" s="3368"/>
      <c r="K6" s="2581" t="s">
        <v>2529</v>
      </c>
      <c r="L6" s="1126"/>
      <c r="M6" s="1127"/>
      <c r="N6" s="1127"/>
      <c r="O6" s="1127"/>
      <c r="P6" s="3359"/>
      <c r="Q6" s="3360"/>
      <c r="R6" s="3363"/>
      <c r="S6" s="3364"/>
      <c r="T6" s="3365"/>
      <c r="U6" s="3366"/>
      <c r="V6" s="3348"/>
      <c r="W6" s="3348"/>
      <c r="X6" s="1807"/>
      <c r="Y6" s="3365"/>
      <c r="Z6" s="3366"/>
      <c r="AA6" s="3351"/>
      <c r="AB6" s="3351"/>
      <c r="AC6" s="3351"/>
    </row>
    <row r="7" spans="1:29" s="115" customFormat="1" ht="1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71" t="s">
        <v>2531</v>
      </c>
      <c r="Q7" s="3373"/>
      <c r="R7" s="768" t="s">
        <v>23</v>
      </c>
      <c r="S7" s="769">
        <f t="shared" ref="S7:S15" si="0">F7</f>
        <v>0</v>
      </c>
      <c r="T7" s="768" t="s">
        <v>23</v>
      </c>
      <c r="U7" s="769">
        <f t="shared" ref="U7:U15" si="1">H7</f>
        <v>0</v>
      </c>
      <c r="V7" s="768" t="s">
        <v>23</v>
      </c>
      <c r="W7" s="769">
        <f t="shared" ref="W7:W15" si="2">J7</f>
        <v>0</v>
      </c>
      <c r="X7" s="770"/>
      <c r="Y7" s="3371" t="s">
        <v>2531</v>
      </c>
      <c r="Z7" s="3372"/>
      <c r="AA7" s="771" t="e">
        <f>D7/F7</f>
        <v>#DIV/0!</v>
      </c>
      <c r="AB7" s="771" t="e">
        <f>D7/H7</f>
        <v>#DIV/0!</v>
      </c>
      <c r="AC7" s="771" t="e">
        <f>D7/J7</f>
        <v>#DIV/0!</v>
      </c>
    </row>
    <row r="8" spans="1:29" s="115" customFormat="1" ht="1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71" t="s">
        <v>2534</v>
      </c>
      <c r="Q8" s="3372"/>
      <c r="R8" s="768" t="s">
        <v>23</v>
      </c>
      <c r="S8" s="769">
        <f t="shared" si="0"/>
        <v>0</v>
      </c>
      <c r="T8" s="768" t="s">
        <v>23</v>
      </c>
      <c r="U8" s="769">
        <f t="shared" si="1"/>
        <v>0</v>
      </c>
      <c r="V8" s="768" t="s">
        <v>23</v>
      </c>
      <c r="W8" s="769">
        <f t="shared" si="2"/>
        <v>0</v>
      </c>
      <c r="X8" s="770"/>
      <c r="Y8" s="3371" t="s">
        <v>2534</v>
      </c>
      <c r="Z8" s="3372"/>
      <c r="AA8" s="771" t="e">
        <f t="shared" ref="AA8:AA19" si="3">D8/F8</f>
        <v>#DIV/0!</v>
      </c>
      <c r="AB8" s="771" t="e">
        <f t="shared" ref="AB8:AB19" si="4">D8/H8</f>
        <v>#DIV/0!</v>
      </c>
      <c r="AC8" s="771" t="e">
        <f t="shared" ref="AC8:AC19" si="5">D8/J8</f>
        <v>#DIV/0!</v>
      </c>
    </row>
    <row r="9" spans="1:29" s="115" customFormat="1" ht="14.4">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41" t="s">
        <v>2537</v>
      </c>
      <c r="Q9" s="1789" t="str">
        <f t="shared" ref="Q9:Q15" si="6">B9</f>
        <v>用途</v>
      </c>
      <c r="R9" s="768" t="s">
        <v>17</v>
      </c>
      <c r="S9" s="769">
        <f t="shared" si="0"/>
        <v>100</v>
      </c>
      <c r="T9" s="768" t="s">
        <v>17</v>
      </c>
      <c r="U9" s="769">
        <f t="shared" si="1"/>
        <v>100</v>
      </c>
      <c r="V9" s="768" t="s">
        <v>17</v>
      </c>
      <c r="W9" s="769">
        <f t="shared" si="2"/>
        <v>100</v>
      </c>
      <c r="X9" s="770"/>
      <c r="Y9" s="3170" t="s">
        <v>2538</v>
      </c>
      <c r="Z9" s="55" t="str">
        <f t="shared" ref="Z9:Z15" si="7">Q9</f>
        <v>用途</v>
      </c>
      <c r="AA9" s="771">
        <f t="shared" si="3"/>
        <v>1</v>
      </c>
      <c r="AB9" s="771">
        <f t="shared" si="4"/>
        <v>1</v>
      </c>
      <c r="AC9" s="771">
        <f t="shared" si="5"/>
        <v>1</v>
      </c>
    </row>
    <row r="10" spans="1:29" s="425" customFormat="1" ht="28.8">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41"/>
      <c r="Q10" s="1789" t="str">
        <f t="shared" si="6"/>
        <v>土地使用年限（年）</v>
      </c>
      <c r="R10" s="768" t="s">
        <v>17</v>
      </c>
      <c r="S10" s="769">
        <f t="shared" si="0"/>
        <v>100</v>
      </c>
      <c r="T10" s="768" t="s">
        <v>17</v>
      </c>
      <c r="U10" s="769">
        <f t="shared" si="1"/>
        <v>100</v>
      </c>
      <c r="V10" s="768" t="s">
        <v>17</v>
      </c>
      <c r="W10" s="769">
        <f t="shared" si="2"/>
        <v>100</v>
      </c>
      <c r="X10" s="770"/>
      <c r="Y10" s="3170"/>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41"/>
      <c r="Q11" s="1789" t="str">
        <f t="shared" si="6"/>
        <v>容积率</v>
      </c>
      <c r="R11" s="768" t="s">
        <v>21</v>
      </c>
      <c r="S11" s="769" t="e">
        <f t="shared" si="0"/>
        <v>#N/A</v>
      </c>
      <c r="T11" s="768" t="s">
        <v>21</v>
      </c>
      <c r="U11" s="769" t="e">
        <f t="shared" si="1"/>
        <v>#N/A</v>
      </c>
      <c r="V11" s="768" t="s">
        <v>21</v>
      </c>
      <c r="W11" s="769" t="e">
        <f t="shared" si="2"/>
        <v>#N/A</v>
      </c>
      <c r="X11" s="770"/>
      <c r="Y11" s="3170"/>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41"/>
      <c r="Q12" s="1789">
        <f t="shared" si="6"/>
        <v>111</v>
      </c>
      <c r="R12" s="768" t="s">
        <v>21</v>
      </c>
      <c r="S12" s="769">
        <f t="shared" si="0"/>
        <v>100</v>
      </c>
      <c r="T12" s="768" t="s">
        <v>21</v>
      </c>
      <c r="U12" s="769">
        <f t="shared" si="1"/>
        <v>100</v>
      </c>
      <c r="V12" s="768" t="s">
        <v>21</v>
      </c>
      <c r="W12" s="769">
        <f t="shared" si="2"/>
        <v>100</v>
      </c>
      <c r="X12" s="770"/>
      <c r="Y12" s="3170"/>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41"/>
      <c r="Q13" s="1789">
        <f t="shared" si="6"/>
        <v>111</v>
      </c>
      <c r="R13" s="768" t="s">
        <v>21</v>
      </c>
      <c r="S13" s="769">
        <f t="shared" si="0"/>
        <v>100</v>
      </c>
      <c r="T13" s="768" t="s">
        <v>21</v>
      </c>
      <c r="U13" s="769">
        <f t="shared" si="1"/>
        <v>100</v>
      </c>
      <c r="V13" s="768" t="s">
        <v>21</v>
      </c>
      <c r="W13" s="769">
        <f t="shared" si="2"/>
        <v>100</v>
      </c>
      <c r="X13" s="770"/>
      <c r="Y13" s="3170"/>
      <c r="Z13" s="55">
        <f t="shared" si="7"/>
        <v>111</v>
      </c>
      <c r="AA13" s="771">
        <f t="shared" si="3"/>
        <v>1</v>
      </c>
      <c r="AB13" s="771">
        <f t="shared" si="4"/>
        <v>1</v>
      </c>
      <c r="AC13" s="771">
        <f t="shared" si="5"/>
        <v>1</v>
      </c>
    </row>
    <row r="14" spans="1:29" ht="15.6"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41"/>
      <c r="Q14" s="1789">
        <f t="shared" si="6"/>
        <v>111</v>
      </c>
      <c r="R14" s="768" t="s">
        <v>21</v>
      </c>
      <c r="S14" s="769">
        <f t="shared" si="0"/>
        <v>100</v>
      </c>
      <c r="T14" s="768" t="s">
        <v>21</v>
      </c>
      <c r="U14" s="769">
        <f t="shared" si="1"/>
        <v>100</v>
      </c>
      <c r="V14" s="768" t="s">
        <v>21</v>
      </c>
      <c r="W14" s="769">
        <f t="shared" si="2"/>
        <v>100</v>
      </c>
      <c r="X14" s="770"/>
      <c r="Y14" s="3170"/>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411" t="s">
        <v>2542</v>
      </c>
      <c r="Q15" s="1804" t="str">
        <f t="shared" si="6"/>
        <v>居住社区成熟度</v>
      </c>
      <c r="R15" s="772" t="s">
        <v>21</v>
      </c>
      <c r="S15" s="773">
        <f t="shared" si="0"/>
        <v>100</v>
      </c>
      <c r="T15" s="772" t="s">
        <v>21</v>
      </c>
      <c r="U15" s="773">
        <f t="shared" si="1"/>
        <v>100</v>
      </c>
      <c r="V15" s="772" t="s">
        <v>21</v>
      </c>
      <c r="W15" s="773">
        <f t="shared" si="2"/>
        <v>100</v>
      </c>
      <c r="X15" s="1807"/>
      <c r="Y15" s="3344"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412"/>
      <c r="Q16" s="1804"/>
      <c r="R16" s="772"/>
      <c r="S16" s="773"/>
      <c r="T16" s="772"/>
      <c r="U16" s="773"/>
      <c r="V16" s="772"/>
      <c r="W16" s="773"/>
      <c r="X16" s="1807"/>
      <c r="Y16" s="3345"/>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412"/>
      <c r="Q17" s="1804" t="str">
        <f>B17</f>
        <v>交通便捷度</v>
      </c>
      <c r="R17" s="772" t="s">
        <v>21</v>
      </c>
      <c r="S17" s="773">
        <f>F17</f>
        <v>100</v>
      </c>
      <c r="T17" s="772" t="s">
        <v>21</v>
      </c>
      <c r="U17" s="773">
        <f>H17</f>
        <v>100</v>
      </c>
      <c r="V17" s="772" t="s">
        <v>21</v>
      </c>
      <c r="W17" s="773">
        <f>J17</f>
        <v>100</v>
      </c>
      <c r="X17" s="1807"/>
      <c r="Y17" s="3345"/>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412"/>
      <c r="Q18" s="1804"/>
      <c r="R18" s="772"/>
      <c r="S18" s="773"/>
      <c r="T18" s="772"/>
      <c r="U18" s="773"/>
      <c r="V18" s="772"/>
      <c r="W18" s="773"/>
      <c r="X18" s="1807"/>
      <c r="Y18" s="3345"/>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412"/>
      <c r="Q19" s="1804" t="str">
        <f>B19</f>
        <v>公共配套设施</v>
      </c>
      <c r="R19" s="772" t="s">
        <v>21</v>
      </c>
      <c r="S19" s="773">
        <f>F19</f>
        <v>100</v>
      </c>
      <c r="T19" s="772" t="s">
        <v>21</v>
      </c>
      <c r="U19" s="773">
        <f>H19</f>
        <v>100</v>
      </c>
      <c r="V19" s="772" t="s">
        <v>21</v>
      </c>
      <c r="W19" s="773">
        <f>J19</f>
        <v>100</v>
      </c>
      <c r="X19" s="1807"/>
      <c r="Y19" s="3345"/>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412"/>
      <c r="Q20" s="1804"/>
      <c r="R20" s="772"/>
      <c r="S20" s="773"/>
      <c r="T20" s="772"/>
      <c r="U20" s="773"/>
      <c r="V20" s="772"/>
      <c r="W20" s="773"/>
      <c r="X20" s="1807"/>
      <c r="Y20" s="3345"/>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412"/>
      <c r="Q21" s="1804" t="str">
        <f>B21</f>
        <v>基础设施水平</v>
      </c>
      <c r="R21" s="772" t="s">
        <v>17</v>
      </c>
      <c r="S21" s="773">
        <f>F21</f>
        <v>100</v>
      </c>
      <c r="T21" s="772" t="s">
        <v>17</v>
      </c>
      <c r="U21" s="773">
        <f>H21</f>
        <v>100</v>
      </c>
      <c r="V21" s="772" t="s">
        <v>17</v>
      </c>
      <c r="W21" s="773">
        <f>J21</f>
        <v>100</v>
      </c>
      <c r="X21" s="1807"/>
      <c r="Y21" s="3345"/>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412"/>
      <c r="Q22" s="1804"/>
      <c r="R22" s="772"/>
      <c r="S22" s="773"/>
      <c r="T22" s="772"/>
      <c r="U22" s="773"/>
      <c r="V22" s="772"/>
      <c r="W22" s="773"/>
      <c r="X22" s="1807"/>
      <c r="Y22" s="3345"/>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412"/>
      <c r="Q23" s="1804" t="str">
        <f>B23</f>
        <v>自然及人文环境</v>
      </c>
      <c r="R23" s="772" t="s">
        <v>21</v>
      </c>
      <c r="S23" s="773">
        <f>F23</f>
        <v>100</v>
      </c>
      <c r="T23" s="772" t="s">
        <v>21</v>
      </c>
      <c r="U23" s="773">
        <f>H23</f>
        <v>100</v>
      </c>
      <c r="V23" s="772" t="s">
        <v>21</v>
      </c>
      <c r="W23" s="773">
        <f>J23</f>
        <v>100</v>
      </c>
      <c r="X23" s="1807"/>
      <c r="Y23" s="3345"/>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412"/>
      <c r="Q24" s="1804"/>
      <c r="R24" s="772"/>
      <c r="S24" s="773"/>
      <c r="T24" s="772"/>
      <c r="U24" s="773"/>
      <c r="V24" s="772"/>
      <c r="W24" s="773"/>
      <c r="X24" s="1807"/>
      <c r="Y24" s="3345"/>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412"/>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45"/>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412"/>
      <c r="Q26" s="1804" t="str">
        <f t="shared" si="11"/>
        <v>朝向</v>
      </c>
      <c r="R26" s="772" t="s">
        <v>21</v>
      </c>
      <c r="S26" s="773">
        <f t="shared" si="12"/>
        <v>100</v>
      </c>
      <c r="T26" s="772" t="s">
        <v>21</v>
      </c>
      <c r="U26" s="773">
        <f t="shared" si="13"/>
        <v>100</v>
      </c>
      <c r="V26" s="772" t="s">
        <v>21</v>
      </c>
      <c r="W26" s="773">
        <f t="shared" si="14"/>
        <v>100</v>
      </c>
      <c r="X26" s="1807"/>
      <c r="Y26" s="3345"/>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412"/>
      <c r="Q27" s="1789">
        <f t="shared" si="11"/>
        <v>111</v>
      </c>
      <c r="R27" s="768" t="s">
        <v>21</v>
      </c>
      <c r="S27" s="769">
        <f t="shared" si="12"/>
        <v>100</v>
      </c>
      <c r="T27" s="768" t="s">
        <v>21</v>
      </c>
      <c r="U27" s="769">
        <f t="shared" si="13"/>
        <v>100</v>
      </c>
      <c r="V27" s="768" t="s">
        <v>21</v>
      </c>
      <c r="W27" s="769">
        <f t="shared" si="14"/>
        <v>100</v>
      </c>
      <c r="X27" s="770"/>
      <c r="Y27" s="3345"/>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412"/>
      <c r="Q28" s="1804">
        <f t="shared" si="11"/>
        <v>111</v>
      </c>
      <c r="R28" s="772" t="s">
        <v>21</v>
      </c>
      <c r="S28" s="773">
        <f t="shared" si="12"/>
        <v>100</v>
      </c>
      <c r="T28" s="772" t="s">
        <v>21</v>
      </c>
      <c r="U28" s="773">
        <f t="shared" si="13"/>
        <v>100</v>
      </c>
      <c r="V28" s="772" t="s">
        <v>21</v>
      </c>
      <c r="W28" s="773">
        <f t="shared" si="14"/>
        <v>100</v>
      </c>
      <c r="X28" s="1807"/>
      <c r="Y28" s="3345"/>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412"/>
      <c r="Q29" s="1804">
        <f t="shared" si="11"/>
        <v>111</v>
      </c>
      <c r="R29" s="772" t="s">
        <v>21</v>
      </c>
      <c r="S29" s="773">
        <f t="shared" si="12"/>
        <v>100</v>
      </c>
      <c r="T29" s="772" t="s">
        <v>21</v>
      </c>
      <c r="U29" s="773">
        <f t="shared" si="13"/>
        <v>100</v>
      </c>
      <c r="V29" s="772" t="s">
        <v>21</v>
      </c>
      <c r="W29" s="773">
        <f t="shared" si="14"/>
        <v>100</v>
      </c>
      <c r="X29" s="1807"/>
      <c r="Y29" s="3345"/>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412"/>
      <c r="Q30" s="1804">
        <f t="shared" si="11"/>
        <v>111</v>
      </c>
      <c r="R30" s="772" t="s">
        <v>21</v>
      </c>
      <c r="S30" s="773">
        <f t="shared" si="12"/>
        <v>100</v>
      </c>
      <c r="T30" s="772" t="s">
        <v>21</v>
      </c>
      <c r="U30" s="773">
        <f t="shared" si="13"/>
        <v>100</v>
      </c>
      <c r="V30" s="772" t="s">
        <v>21</v>
      </c>
      <c r="W30" s="773">
        <f t="shared" si="14"/>
        <v>100</v>
      </c>
      <c r="X30" s="1807"/>
      <c r="Y30" s="3345"/>
      <c r="Z30" s="1808">
        <f t="shared" si="18"/>
        <v>111</v>
      </c>
      <c r="AA30" s="1805">
        <f t="shared" si="15"/>
        <v>1</v>
      </c>
      <c r="AB30" s="1805">
        <f t="shared" si="16"/>
        <v>1</v>
      </c>
      <c r="AC30" s="1805">
        <f t="shared" si="17"/>
        <v>1</v>
      </c>
    </row>
    <row r="31" spans="1:29" ht="15.6"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412"/>
      <c r="Q31" s="1804">
        <f t="shared" si="11"/>
        <v>111</v>
      </c>
      <c r="R31" s="772" t="s">
        <v>21</v>
      </c>
      <c r="S31" s="773">
        <f t="shared" si="12"/>
        <v>100</v>
      </c>
      <c r="T31" s="772" t="s">
        <v>21</v>
      </c>
      <c r="U31" s="773">
        <f t="shared" si="13"/>
        <v>100</v>
      </c>
      <c r="V31" s="772" t="s">
        <v>21</v>
      </c>
      <c r="W31" s="773">
        <f t="shared" si="14"/>
        <v>100</v>
      </c>
      <c r="X31" s="1807"/>
      <c r="Y31" s="3345"/>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407" t="s">
        <v>2547</v>
      </c>
      <c r="Q32" s="1804" t="str">
        <f t="shared" si="11"/>
        <v>建筑类型</v>
      </c>
      <c r="R32" s="772" t="s">
        <v>21</v>
      </c>
      <c r="S32" s="773">
        <f t="shared" si="12"/>
        <v>100</v>
      </c>
      <c r="T32" s="772" t="s">
        <v>21</v>
      </c>
      <c r="U32" s="773">
        <f t="shared" si="13"/>
        <v>100</v>
      </c>
      <c r="V32" s="772" t="s">
        <v>21</v>
      </c>
      <c r="W32" s="773">
        <f t="shared" si="14"/>
        <v>100</v>
      </c>
      <c r="X32" s="1807"/>
      <c r="Y32" s="3347"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408"/>
      <c r="Q33" s="774" t="str">
        <f t="shared" si="11"/>
        <v>项目建筑规模</v>
      </c>
      <c r="R33" s="775" t="s">
        <v>21</v>
      </c>
      <c r="S33" s="776" t="e">
        <f t="shared" si="12"/>
        <v>#N/A</v>
      </c>
      <c r="T33" s="775" t="s">
        <v>21</v>
      </c>
      <c r="U33" s="776" t="e">
        <f t="shared" si="13"/>
        <v>#N/A</v>
      </c>
      <c r="V33" s="775" t="s">
        <v>21</v>
      </c>
      <c r="W33" s="776" t="e">
        <f t="shared" si="14"/>
        <v>#N/A</v>
      </c>
      <c r="X33" s="777"/>
      <c r="Y33" s="3347"/>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408"/>
      <c r="Q34" s="1804" t="str">
        <f t="shared" si="11"/>
        <v>建筑结构</v>
      </c>
      <c r="R34" s="772" t="s">
        <v>21</v>
      </c>
      <c r="S34" s="773">
        <f t="shared" si="12"/>
        <v>100</v>
      </c>
      <c r="T34" s="772" t="s">
        <v>21</v>
      </c>
      <c r="U34" s="773">
        <f t="shared" si="13"/>
        <v>100</v>
      </c>
      <c r="V34" s="772" t="s">
        <v>21</v>
      </c>
      <c r="W34" s="773">
        <f t="shared" si="14"/>
        <v>100</v>
      </c>
      <c r="X34" s="1807"/>
      <c r="Y34" s="3347"/>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408"/>
      <c r="Q35" s="1804" t="str">
        <f t="shared" si="11"/>
        <v>建筑品质</v>
      </c>
      <c r="R35" s="772" t="s">
        <v>21</v>
      </c>
      <c r="S35" s="773">
        <f t="shared" si="12"/>
        <v>100</v>
      </c>
      <c r="T35" s="772" t="s">
        <v>21</v>
      </c>
      <c r="U35" s="773">
        <f t="shared" si="13"/>
        <v>100</v>
      </c>
      <c r="V35" s="772" t="s">
        <v>21</v>
      </c>
      <c r="W35" s="773">
        <f t="shared" si="14"/>
        <v>100</v>
      </c>
      <c r="X35" s="1807"/>
      <c r="Y35" s="3347"/>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408"/>
      <c r="Q36" s="1804" t="str">
        <f t="shared" si="11"/>
        <v>公共部分装修</v>
      </c>
      <c r="R36" s="772" t="s">
        <v>21</v>
      </c>
      <c r="S36" s="773">
        <f t="shared" si="12"/>
        <v>100</v>
      </c>
      <c r="T36" s="772" t="s">
        <v>21</v>
      </c>
      <c r="U36" s="773">
        <f t="shared" si="13"/>
        <v>100</v>
      </c>
      <c r="V36" s="772" t="s">
        <v>21</v>
      </c>
      <c r="W36" s="773">
        <f t="shared" si="14"/>
        <v>100</v>
      </c>
      <c r="X36" s="1807"/>
      <c r="Y36" s="3347"/>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408"/>
      <c r="Q37" s="1789" t="str">
        <f t="shared" si="11"/>
        <v>成新度</v>
      </c>
      <c r="R37" s="768" t="s">
        <v>21</v>
      </c>
      <c r="S37" s="769" t="e">
        <f t="shared" si="12"/>
        <v>#N/A</v>
      </c>
      <c r="T37" s="768" t="s">
        <v>21</v>
      </c>
      <c r="U37" s="769" t="e">
        <f t="shared" si="13"/>
        <v>#N/A</v>
      </c>
      <c r="V37" s="768" t="s">
        <v>21</v>
      </c>
      <c r="W37" s="769" t="e">
        <f t="shared" si="14"/>
        <v>#N/A</v>
      </c>
      <c r="X37" s="770"/>
      <c r="Y37" s="3347"/>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408" t="s">
        <v>2547</v>
      </c>
      <c r="Q38" s="1804" t="str">
        <f t="shared" si="11"/>
        <v>物业管理</v>
      </c>
      <c r="R38" s="772" t="s">
        <v>21</v>
      </c>
      <c r="S38" s="773">
        <f t="shared" si="12"/>
        <v>100</v>
      </c>
      <c r="T38" s="772" t="s">
        <v>21</v>
      </c>
      <c r="U38" s="773">
        <f t="shared" si="13"/>
        <v>100</v>
      </c>
      <c r="V38" s="772" t="s">
        <v>21</v>
      </c>
      <c r="W38" s="773">
        <f t="shared" si="14"/>
        <v>100</v>
      </c>
      <c r="X38" s="1807"/>
      <c r="Y38" s="3347"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408"/>
      <c r="Q39" s="1804" t="str">
        <f t="shared" si="11"/>
        <v>市政基础设施</v>
      </c>
      <c r="R39" s="772" t="s">
        <v>21</v>
      </c>
      <c r="S39" s="773">
        <f t="shared" si="12"/>
        <v>100</v>
      </c>
      <c r="T39" s="772" t="s">
        <v>21</v>
      </c>
      <c r="U39" s="773">
        <f t="shared" si="13"/>
        <v>100</v>
      </c>
      <c r="V39" s="772" t="s">
        <v>21</v>
      </c>
      <c r="W39" s="773">
        <f t="shared" si="14"/>
        <v>100</v>
      </c>
      <c r="X39" s="1807"/>
      <c r="Y39" s="3347"/>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408"/>
      <c r="Q40" s="1804" t="str">
        <f t="shared" si="11"/>
        <v>房型</v>
      </c>
      <c r="R40" s="772" t="s">
        <v>21</v>
      </c>
      <c r="S40" s="773">
        <f t="shared" si="12"/>
        <v>100</v>
      </c>
      <c r="T40" s="772" t="s">
        <v>21</v>
      </c>
      <c r="U40" s="773">
        <f t="shared" si="13"/>
        <v>100</v>
      </c>
      <c r="V40" s="772" t="s">
        <v>21</v>
      </c>
      <c r="W40" s="773">
        <f t="shared" si="14"/>
        <v>100</v>
      </c>
      <c r="X40" s="1807"/>
      <c r="Y40" s="3347"/>
      <c r="Z40" s="1808" t="str">
        <f t="shared" si="18"/>
        <v>房型</v>
      </c>
      <c r="AA40" s="1805">
        <f t="shared" si="15"/>
        <v>1</v>
      </c>
      <c r="AB40" s="1805">
        <f t="shared" si="16"/>
        <v>1</v>
      </c>
      <c r="AC40" s="1805">
        <f t="shared" si="17"/>
        <v>1</v>
      </c>
    </row>
    <row r="41" spans="1:29" s="469" customFormat="1" ht="28.8">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408"/>
      <c r="Q41" s="774" t="str">
        <f t="shared" si="11"/>
        <v>单套/主力户型建筑面积</v>
      </c>
      <c r="R41" s="775" t="s">
        <v>21</v>
      </c>
      <c r="S41" s="776">
        <f t="shared" si="12"/>
        <v>100</v>
      </c>
      <c r="T41" s="775" t="s">
        <v>21</v>
      </c>
      <c r="U41" s="776">
        <f t="shared" si="13"/>
        <v>100</v>
      </c>
      <c r="V41" s="775" t="s">
        <v>21</v>
      </c>
      <c r="W41" s="776">
        <f t="shared" si="14"/>
        <v>100</v>
      </c>
      <c r="X41" s="777"/>
      <c r="Y41" s="3347"/>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408"/>
      <c r="Q42" s="1804" t="str">
        <f t="shared" si="11"/>
        <v>内部装修</v>
      </c>
      <c r="R42" s="772" t="s">
        <v>21</v>
      </c>
      <c r="S42" s="773">
        <f t="shared" si="12"/>
        <v>100</v>
      </c>
      <c r="T42" s="772" t="s">
        <v>21</v>
      </c>
      <c r="U42" s="773">
        <f t="shared" si="13"/>
        <v>100</v>
      </c>
      <c r="V42" s="772" t="s">
        <v>21</v>
      </c>
      <c r="W42" s="773">
        <f t="shared" si="14"/>
        <v>100</v>
      </c>
      <c r="X42" s="1807"/>
      <c r="Y42" s="3347"/>
      <c r="Z42" s="1808" t="str">
        <f t="shared" si="18"/>
        <v>内部装修</v>
      </c>
      <c r="AA42" s="1805">
        <f t="shared" si="15"/>
        <v>1</v>
      </c>
      <c r="AB42" s="1805">
        <f t="shared" si="16"/>
        <v>1</v>
      </c>
      <c r="AC42" s="1805">
        <f t="shared" si="17"/>
        <v>1</v>
      </c>
    </row>
    <row r="43" spans="1:29" ht="28.8">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408"/>
      <c r="Q43" s="1804" t="str">
        <f t="shared" si="11"/>
        <v>内部装修维护情况</v>
      </c>
      <c r="R43" s="772" t="s">
        <v>21</v>
      </c>
      <c r="S43" s="773">
        <f t="shared" si="12"/>
        <v>100</v>
      </c>
      <c r="T43" s="772" t="s">
        <v>21</v>
      </c>
      <c r="U43" s="773">
        <f t="shared" si="13"/>
        <v>100</v>
      </c>
      <c r="V43" s="772" t="s">
        <v>21</v>
      </c>
      <c r="W43" s="773">
        <f t="shared" si="14"/>
        <v>100</v>
      </c>
      <c r="X43" s="1807"/>
      <c r="Y43" s="3347"/>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408"/>
      <c r="Q44" s="1789">
        <f t="shared" si="11"/>
        <v>111</v>
      </c>
      <c r="R44" s="768" t="s">
        <v>21</v>
      </c>
      <c r="S44" s="769">
        <f t="shared" si="12"/>
        <v>100</v>
      </c>
      <c r="T44" s="768" t="s">
        <v>21</v>
      </c>
      <c r="U44" s="769">
        <f t="shared" si="13"/>
        <v>100</v>
      </c>
      <c r="V44" s="768" t="s">
        <v>21</v>
      </c>
      <c r="W44" s="769">
        <f t="shared" si="14"/>
        <v>100</v>
      </c>
      <c r="X44" s="770"/>
      <c r="Y44" s="3347"/>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408"/>
      <c r="Q45" s="1804">
        <f t="shared" si="11"/>
        <v>111</v>
      </c>
      <c r="R45" s="772" t="s">
        <v>21</v>
      </c>
      <c r="S45" s="773">
        <f t="shared" si="12"/>
        <v>100</v>
      </c>
      <c r="T45" s="772" t="s">
        <v>21</v>
      </c>
      <c r="U45" s="773">
        <f t="shared" si="13"/>
        <v>100</v>
      </c>
      <c r="V45" s="772" t="s">
        <v>21</v>
      </c>
      <c r="W45" s="773">
        <f t="shared" si="14"/>
        <v>100</v>
      </c>
      <c r="X45" s="1807"/>
      <c r="Y45" s="3347"/>
      <c r="Z45" s="1808">
        <f t="shared" si="18"/>
        <v>111</v>
      </c>
      <c r="AA45" s="1805">
        <f t="shared" si="15"/>
        <v>1</v>
      </c>
      <c r="AB45" s="1805">
        <f t="shared" si="16"/>
        <v>1</v>
      </c>
      <c r="AC45" s="1805">
        <f t="shared" si="17"/>
        <v>1</v>
      </c>
    </row>
    <row r="46" spans="1:29" ht="15.6"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409"/>
      <c r="Q46" s="1804">
        <f t="shared" si="11"/>
        <v>111</v>
      </c>
      <c r="R46" s="772" t="s">
        <v>20</v>
      </c>
      <c r="S46" s="773">
        <f t="shared" si="12"/>
        <v>100</v>
      </c>
      <c r="T46" s="772" t="s">
        <v>20</v>
      </c>
      <c r="U46" s="773">
        <f t="shared" si="13"/>
        <v>100</v>
      </c>
      <c r="V46" s="772" t="s">
        <v>20</v>
      </c>
      <c r="W46" s="773">
        <f t="shared" si="14"/>
        <v>100</v>
      </c>
      <c r="X46" s="1807"/>
      <c r="Y46" s="3410"/>
      <c r="Z46" s="1808">
        <f t="shared" si="18"/>
        <v>111</v>
      </c>
      <c r="AA46" s="1805">
        <f t="shared" si="15"/>
        <v>1</v>
      </c>
      <c r="AB46" s="1805">
        <f t="shared" si="16"/>
        <v>1</v>
      </c>
      <c r="AC46" s="1805">
        <f t="shared" si="17"/>
        <v>1</v>
      </c>
    </row>
    <row r="47" spans="1:29" ht="14.4">
      <c r="A47" s="477" t="s">
        <v>2559</v>
      </c>
      <c r="B47" s="478"/>
      <c r="C47" s="1403" t="s">
        <v>19</v>
      </c>
      <c r="D47" s="1404"/>
      <c r="E47" s="1405"/>
      <c r="F47" s="1406"/>
      <c r="G47" s="1407"/>
      <c r="H47" s="1408"/>
      <c r="I47" s="1405"/>
      <c r="J47" s="1408"/>
      <c r="K47" s="2605"/>
      <c r="L47" s="1139"/>
      <c r="M47" s="1140"/>
      <c r="N47" s="1127"/>
      <c r="O47" s="1140"/>
      <c r="P47" s="3342" t="str">
        <f>A47</f>
        <v>成交单价（元/平方米）</v>
      </c>
      <c r="Q47" s="3342"/>
      <c r="R47" s="3383">
        <f>E47</f>
        <v>0</v>
      </c>
      <c r="S47" s="3383"/>
      <c r="T47" s="3383">
        <f>G47</f>
        <v>0</v>
      </c>
      <c r="U47" s="3383"/>
      <c r="V47" s="3383">
        <f>I47</f>
        <v>0</v>
      </c>
      <c r="W47" s="3383"/>
      <c r="X47" s="757"/>
      <c r="Y47" s="779"/>
      <c r="Z47" s="757"/>
      <c r="AA47" s="757"/>
      <c r="AB47" s="757"/>
      <c r="AC47" s="757"/>
    </row>
    <row r="48" spans="1:29" ht="1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42" t="str">
        <f>A48</f>
        <v>比较价值（元/平方米）</v>
      </c>
      <c r="Q48" s="334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757"/>
      <c r="Y48" s="757"/>
      <c r="Z48" s="757"/>
      <c r="AA48" s="757"/>
      <c r="AB48" s="757"/>
      <c r="AC48" s="757"/>
    </row>
    <row r="49" spans="1:29" ht="15" thickBot="1">
      <c r="A49" s="490" t="s">
        <v>2561</v>
      </c>
      <c r="B49" s="491"/>
      <c r="C49" s="1412" t="e">
        <f>R49</f>
        <v>#DIV/0!</v>
      </c>
      <c r="D49" s="1413"/>
      <c r="E49" s="1413"/>
      <c r="F49" s="1413"/>
      <c r="G49" s="1413"/>
      <c r="H49" s="1413"/>
      <c r="I49" s="1413"/>
      <c r="J49" s="1413"/>
      <c r="K49" s="2607"/>
      <c r="L49" s="1139"/>
      <c r="M49" s="1140"/>
      <c r="N49" s="1140"/>
      <c r="O49" s="1140"/>
      <c r="P49" s="3336" t="str">
        <f>A49</f>
        <v>估价对象XX用房的比较价值（楼面单价，元/平方米）</v>
      </c>
      <c r="Q49" s="3337"/>
      <c r="R49" s="3384" t="e">
        <f>IF(F1="售价",ROUND(AVERAGE(R48:V48),0),ROUND(AVERAGE(R48:V48),1))</f>
        <v>#DIV/0!</v>
      </c>
      <c r="S49" s="3384"/>
      <c r="T49" s="3384"/>
      <c r="U49" s="3384"/>
      <c r="V49" s="3384"/>
      <c r="W49" s="3384"/>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2.2" thickBot="1">
      <c r="A57" s="761" t="s">
        <v>2565</v>
      </c>
      <c r="B57" s="757"/>
      <c r="C57" s="762"/>
      <c r="D57" s="762"/>
      <c r="E57" s="762"/>
      <c r="F57" s="763"/>
      <c r="G57" s="763"/>
      <c r="H57" s="762"/>
      <c r="I57" s="762"/>
      <c r="J57" s="762"/>
      <c r="K57" s="1156"/>
      <c r="L57" s="1157"/>
      <c r="M57" s="1155"/>
      <c r="N57" s="1155"/>
      <c r="O57" s="1155"/>
      <c r="P57" s="2610"/>
      <c r="Q57" s="502"/>
    </row>
    <row r="58" spans="1:29" s="506" customFormat="1" ht="14.4">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c r="A59" s="507"/>
      <c r="B59" s="2611"/>
      <c r="C59" s="1567">
        <v>100</v>
      </c>
      <c r="D59" s="509"/>
      <c r="E59" s="510"/>
      <c r="F59" s="510"/>
      <c r="G59" s="510"/>
      <c r="H59" s="510"/>
      <c r="I59" s="510"/>
      <c r="J59" s="510"/>
      <c r="K59" s="510"/>
      <c r="L59" s="510"/>
      <c r="M59" s="511"/>
      <c r="N59" s="510"/>
      <c r="O59" s="511"/>
      <c r="P59" s="2612"/>
    </row>
    <row r="60" spans="1:29" s="115" customFormat="1" ht="15" thickBot="1">
      <c r="A60" s="513" t="s">
        <v>2567</v>
      </c>
      <c r="B60" s="514"/>
      <c r="C60" s="515"/>
      <c r="D60" s="516"/>
      <c r="E60" s="516"/>
      <c r="F60" s="516"/>
      <c r="G60" s="516"/>
      <c r="H60" s="516"/>
      <c r="I60" s="516"/>
      <c r="J60" s="516"/>
      <c r="K60" s="516"/>
      <c r="L60" s="516"/>
      <c r="M60" s="517"/>
      <c r="N60" s="516"/>
      <c r="O60" s="517"/>
      <c r="P60" s="2612"/>
      <c r="Q60" s="502"/>
    </row>
    <row r="61" spans="1:29" s="115" customFormat="1" ht="14.4">
      <c r="A61" s="519" t="s">
        <v>2568</v>
      </c>
      <c r="B61" s="508"/>
      <c r="C61" s="520" t="s">
        <v>2569</v>
      </c>
      <c r="D61" s="521"/>
      <c r="E61" s="521"/>
      <c r="F61" s="521"/>
      <c r="G61" s="521"/>
      <c r="H61" s="521"/>
      <c r="I61" s="521"/>
      <c r="J61" s="521"/>
      <c r="K61" s="521"/>
      <c r="L61" s="522"/>
      <c r="M61" s="523"/>
      <c r="N61" s="1147"/>
      <c r="O61" s="1147"/>
      <c r="P61" s="2613"/>
      <c r="Q61" s="502"/>
    </row>
    <row r="62" spans="1:29" s="115" customFormat="1" ht="14.4" thickBot="1">
      <c r="A62" s="519"/>
      <c r="B62" s="508"/>
      <c r="C62" s="509">
        <v>100</v>
      </c>
      <c r="D62" s="510"/>
      <c r="E62" s="510"/>
      <c r="F62" s="510"/>
      <c r="G62" s="510"/>
      <c r="H62" s="510"/>
      <c r="I62" s="510"/>
      <c r="J62" s="510"/>
      <c r="K62" s="510"/>
      <c r="L62" s="510"/>
      <c r="M62" s="512"/>
      <c r="N62" s="1147"/>
      <c r="O62" s="1147"/>
      <c r="P62" s="2612"/>
      <c r="Q62" s="502"/>
    </row>
    <row r="63" spans="1:29" ht="14.4">
      <c r="A63" s="525" t="s">
        <v>2570</v>
      </c>
      <c r="B63" s="526" t="s">
        <v>2536</v>
      </c>
      <c r="C63" s="527">
        <f>C9</f>
        <v>0</v>
      </c>
      <c r="D63" s="528"/>
      <c r="E63" s="528"/>
      <c r="F63" s="528"/>
      <c r="G63" s="528"/>
      <c r="H63" s="528"/>
      <c r="I63" s="528"/>
      <c r="J63" s="528"/>
      <c r="K63" s="529"/>
      <c r="L63" s="530"/>
      <c r="M63" s="531"/>
      <c r="N63" s="1148"/>
      <c r="O63" s="1148"/>
      <c r="P63" s="2614"/>
      <c r="Q63" s="502"/>
    </row>
    <row r="64" spans="1:29" ht="14.4" thickBot="1">
      <c r="A64" s="532"/>
      <c r="B64" s="533"/>
      <c r="C64" s="534">
        <v>100</v>
      </c>
      <c r="D64" s="534"/>
      <c r="E64" s="534"/>
      <c r="F64" s="534"/>
      <c r="G64" s="534"/>
      <c r="H64" s="534"/>
      <c r="I64" s="534"/>
      <c r="J64" s="534"/>
      <c r="K64" s="534"/>
      <c r="L64" s="534"/>
      <c r="M64" s="535"/>
      <c r="N64" s="1149"/>
      <c r="O64" s="1149"/>
      <c r="P64" s="2614"/>
      <c r="Q64" s="502"/>
    </row>
    <row r="65" spans="1:17" ht="29.4"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c r="A68" s="532"/>
      <c r="B68" s="546"/>
      <c r="C68" s="547"/>
      <c r="D68" s="547"/>
      <c r="E68" s="547"/>
      <c r="F68" s="547"/>
      <c r="G68" s="547"/>
      <c r="H68" s="547"/>
      <c r="I68" s="547"/>
      <c r="J68" s="547"/>
      <c r="K68" s="548"/>
      <c r="L68" s="549"/>
      <c r="M68" s="550"/>
      <c r="N68" s="1148"/>
      <c r="O68" s="1148"/>
      <c r="P68" s="2614"/>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4.4" thickTop="1">
      <c r="A70" s="551"/>
      <c r="B70" s="536">
        <f>B12</f>
        <v>111</v>
      </c>
      <c r="C70" s="552"/>
      <c r="D70" s="552"/>
      <c r="E70" s="552"/>
      <c r="F70" s="552"/>
      <c r="G70" s="552"/>
      <c r="H70" s="553"/>
      <c r="I70" s="553"/>
      <c r="J70" s="553"/>
      <c r="K70" s="553"/>
      <c r="L70" s="554"/>
      <c r="M70" s="555"/>
      <c r="N70" s="1150"/>
      <c r="O70" s="1150"/>
      <c r="P70" s="2615"/>
      <c r="Q70" s="557"/>
    </row>
    <row r="71" spans="1:17" s="469" customFormat="1" ht="14.4" thickBot="1">
      <c r="A71" s="551"/>
      <c r="B71" s="541"/>
      <c r="C71" s="558"/>
      <c r="D71" s="534"/>
      <c r="E71" s="534"/>
      <c r="F71" s="534"/>
      <c r="G71" s="534"/>
      <c r="H71" s="534"/>
      <c r="I71" s="534"/>
      <c r="J71" s="534"/>
      <c r="K71" s="534"/>
      <c r="L71" s="534"/>
      <c r="M71" s="535"/>
      <c r="N71" s="1149"/>
      <c r="O71" s="1149"/>
      <c r="P71" s="2615"/>
      <c r="Q71" s="557"/>
    </row>
    <row r="72" spans="1:17" s="469" customFormat="1" ht="14.4" thickTop="1">
      <c r="A72" s="551"/>
      <c r="B72" s="536">
        <f>B13</f>
        <v>111</v>
      </c>
      <c r="C72" s="552"/>
      <c r="D72" s="552"/>
      <c r="E72" s="552"/>
      <c r="F72" s="552"/>
      <c r="G72" s="552"/>
      <c r="H72" s="553"/>
      <c r="I72" s="553"/>
      <c r="J72" s="553"/>
      <c r="K72" s="553"/>
      <c r="L72" s="554"/>
      <c r="M72" s="555"/>
      <c r="N72" s="1150"/>
      <c r="O72" s="1150"/>
      <c r="P72" s="2616"/>
      <c r="Q72" s="559"/>
    </row>
    <row r="73" spans="1:17" s="469" customFormat="1" ht="14.4" thickBot="1">
      <c r="A73" s="551"/>
      <c r="B73" s="541"/>
      <c r="C73" s="558"/>
      <c r="D73" s="558"/>
      <c r="E73" s="558"/>
      <c r="F73" s="558"/>
      <c r="G73" s="558"/>
      <c r="H73" s="560"/>
      <c r="I73" s="560"/>
      <c r="J73" s="560"/>
      <c r="K73" s="560"/>
      <c r="L73" s="560"/>
      <c r="M73" s="561"/>
      <c r="N73" s="1150"/>
      <c r="O73" s="1150"/>
      <c r="P73" s="2615"/>
      <c r="Q73" s="557"/>
    </row>
    <row r="74" spans="1:17" s="469" customFormat="1" ht="14.4" thickTop="1">
      <c r="A74" s="551"/>
      <c r="B74" s="544">
        <f>B14</f>
        <v>111</v>
      </c>
      <c r="C74" s="552"/>
      <c r="D74" s="552"/>
      <c r="E74" s="552"/>
      <c r="F74" s="552"/>
      <c r="G74" s="521"/>
      <c r="H74" s="562"/>
      <c r="I74" s="562"/>
      <c r="J74" s="562"/>
      <c r="K74" s="562"/>
      <c r="L74" s="563"/>
      <c r="M74" s="564"/>
      <c r="N74" s="1150"/>
      <c r="O74" s="1150"/>
      <c r="P74" s="2617"/>
      <c r="Q74" s="557"/>
    </row>
    <row r="75" spans="1:17" s="469" customFormat="1" ht="14.4" thickBot="1">
      <c r="A75" s="566"/>
      <c r="B75" s="567"/>
      <c r="C75" s="568"/>
      <c r="D75" s="568"/>
      <c r="E75" s="568"/>
      <c r="F75" s="568"/>
      <c r="G75" s="568"/>
      <c r="H75" s="569"/>
      <c r="I75" s="569"/>
      <c r="J75" s="569"/>
      <c r="K75" s="569"/>
      <c r="L75" s="569"/>
      <c r="M75" s="570"/>
      <c r="N75" s="1150"/>
      <c r="O75" s="1150"/>
      <c r="P75" s="2615"/>
      <c r="Q75" s="557"/>
    </row>
    <row r="76" spans="1:17" ht="14.4">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 thickTop="1">
      <c r="A86" s="577"/>
      <c r="B86" s="536" t="s">
        <v>2592</v>
      </c>
      <c r="C86" s="552"/>
      <c r="D86" s="552"/>
      <c r="E86" s="552"/>
      <c r="F86" s="552"/>
      <c r="G86" s="552"/>
      <c r="H86" s="552"/>
      <c r="I86" s="552"/>
      <c r="J86" s="552"/>
      <c r="K86" s="552"/>
      <c r="L86" s="578"/>
      <c r="M86" s="579"/>
      <c r="N86" s="1147"/>
      <c r="O86" s="1147"/>
      <c r="P86" s="2614"/>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 thickTop="1">
      <c r="A88" s="577"/>
      <c r="B88" s="536" t="s">
        <v>2593</v>
      </c>
      <c r="C88" s="552"/>
      <c r="D88" s="552"/>
      <c r="E88" s="552"/>
      <c r="F88" s="2619"/>
      <c r="G88" s="552"/>
      <c r="H88" s="552"/>
      <c r="I88" s="552"/>
      <c r="J88" s="552"/>
      <c r="K88" s="552"/>
      <c r="L88" s="552"/>
      <c r="M88" s="579"/>
      <c r="N88" s="1147"/>
      <c r="O88" s="1147"/>
      <c r="P88" s="2614"/>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4.4" thickTop="1">
      <c r="A90" s="551"/>
      <c r="B90" s="536">
        <f>B27</f>
        <v>111</v>
      </c>
      <c r="C90" s="552"/>
      <c r="D90" s="552"/>
      <c r="E90" s="552"/>
      <c r="F90" s="552"/>
      <c r="G90" s="552"/>
      <c r="H90" s="553"/>
      <c r="I90" s="553"/>
      <c r="J90" s="553"/>
      <c r="K90" s="553"/>
      <c r="L90" s="554"/>
      <c r="M90" s="555"/>
      <c r="N90" s="1150"/>
      <c r="O90" s="1150"/>
      <c r="P90" s="2615"/>
      <c r="Q90" s="557"/>
    </row>
    <row r="91" spans="1:17" s="469" customFormat="1" ht="14.4" thickBot="1">
      <c r="A91" s="551"/>
      <c r="B91" s="541"/>
      <c r="C91" s="558"/>
      <c r="D91" s="558"/>
      <c r="E91" s="558"/>
      <c r="F91" s="558"/>
      <c r="G91" s="558"/>
      <c r="H91" s="560"/>
      <c r="I91" s="560"/>
      <c r="J91" s="560"/>
      <c r="K91" s="560"/>
      <c r="L91" s="560"/>
      <c r="M91" s="561"/>
      <c r="N91" s="1150"/>
      <c r="O91" s="1150"/>
      <c r="P91" s="2615"/>
      <c r="Q91" s="557"/>
    </row>
    <row r="92" spans="1:17" ht="14.4" thickTop="1">
      <c r="A92" s="532"/>
      <c r="B92" s="536">
        <f>B28</f>
        <v>111</v>
      </c>
      <c r="C92" s="552"/>
      <c r="D92" s="552"/>
      <c r="E92" s="552"/>
      <c r="F92" s="552"/>
      <c r="G92" s="581"/>
      <c r="H92" s="581"/>
      <c r="I92" s="581"/>
      <c r="J92" s="581"/>
      <c r="K92" s="582"/>
      <c r="L92" s="583"/>
      <c r="M92" s="584"/>
      <c r="N92" s="1148"/>
      <c r="O92" s="1148"/>
      <c r="P92" s="2614"/>
      <c r="Q92" s="502"/>
    </row>
    <row r="93" spans="1:17" ht="14.4" thickBot="1">
      <c r="A93" s="532"/>
      <c r="B93" s="541"/>
      <c r="C93" s="558"/>
      <c r="D93" s="534"/>
      <c r="E93" s="534"/>
      <c r="F93" s="534"/>
      <c r="G93" s="534"/>
      <c r="H93" s="534"/>
      <c r="I93" s="534"/>
      <c r="J93" s="534"/>
      <c r="K93" s="534"/>
      <c r="L93" s="534"/>
      <c r="M93" s="535"/>
      <c r="N93" s="1149"/>
      <c r="O93" s="1149"/>
      <c r="P93" s="2614"/>
      <c r="Q93" s="502"/>
    </row>
    <row r="94" spans="1:17" ht="14.4" thickTop="1">
      <c r="A94" s="532"/>
      <c r="B94" s="536">
        <f>B29</f>
        <v>111</v>
      </c>
      <c r="C94" s="552"/>
      <c r="D94" s="552"/>
      <c r="E94" s="552"/>
      <c r="F94" s="552"/>
      <c r="G94" s="581"/>
      <c r="H94" s="581"/>
      <c r="I94" s="581"/>
      <c r="J94" s="581"/>
      <c r="K94" s="582"/>
      <c r="L94" s="583"/>
      <c r="M94" s="584"/>
      <c r="N94" s="1148"/>
      <c r="O94" s="1148"/>
      <c r="P94" s="2614"/>
      <c r="Q94" s="502"/>
    </row>
    <row r="95" spans="1:17" ht="14.4" thickBot="1">
      <c r="A95" s="532"/>
      <c r="B95" s="541"/>
      <c r="C95" s="558"/>
      <c r="D95" s="558"/>
      <c r="E95" s="558"/>
      <c r="F95" s="558"/>
      <c r="G95" s="534"/>
      <c r="H95" s="534"/>
      <c r="I95" s="534"/>
      <c r="J95" s="534"/>
      <c r="K95" s="534"/>
      <c r="L95" s="534"/>
      <c r="M95" s="535"/>
      <c r="N95" s="1149"/>
      <c r="O95" s="1149"/>
      <c r="P95" s="2614"/>
      <c r="Q95" s="502"/>
    </row>
    <row r="96" spans="1:17" ht="14.4" thickTop="1">
      <c r="A96" s="532"/>
      <c r="B96" s="536">
        <f>B30</f>
        <v>111</v>
      </c>
      <c r="C96" s="552"/>
      <c r="D96" s="552"/>
      <c r="E96" s="552"/>
      <c r="F96" s="552"/>
      <c r="G96" s="581"/>
      <c r="H96" s="581"/>
      <c r="I96" s="581"/>
      <c r="J96" s="581"/>
      <c r="K96" s="582"/>
      <c r="L96" s="583"/>
      <c r="M96" s="584"/>
      <c r="N96" s="1148"/>
      <c r="O96" s="1148"/>
      <c r="P96" s="2614"/>
      <c r="Q96" s="502"/>
    </row>
    <row r="97" spans="1:17" ht="14.4" thickBot="1">
      <c r="A97" s="532"/>
      <c r="B97" s="541"/>
      <c r="C97" s="568"/>
      <c r="D97" s="568"/>
      <c r="E97" s="568"/>
      <c r="F97" s="568"/>
      <c r="G97" s="534"/>
      <c r="H97" s="534"/>
      <c r="I97" s="534"/>
      <c r="J97" s="534"/>
      <c r="K97" s="534"/>
      <c r="L97" s="534"/>
      <c r="M97" s="535"/>
      <c r="N97" s="1149"/>
      <c r="O97" s="1149"/>
      <c r="P97" s="2614"/>
      <c r="Q97" s="502"/>
    </row>
    <row r="98" spans="1:17" ht="14.4" thickTop="1">
      <c r="A98" s="532"/>
      <c r="B98" s="544">
        <f>B31</f>
        <v>111</v>
      </c>
      <c r="C98" s="585"/>
      <c r="D98" s="585"/>
      <c r="E98" s="585"/>
      <c r="F98" s="585"/>
      <c r="G98" s="585"/>
      <c r="H98" s="585"/>
      <c r="I98" s="585"/>
      <c r="J98" s="585"/>
      <c r="K98" s="586"/>
      <c r="L98" s="587"/>
      <c r="M98" s="588"/>
      <c r="N98" s="1148"/>
      <c r="O98" s="1148"/>
      <c r="P98" s="2614"/>
      <c r="Q98" s="502"/>
    </row>
    <row r="99" spans="1:17" ht="14.4" thickBot="1">
      <c r="A99" s="2620"/>
      <c r="B99" s="567"/>
      <c r="C99" s="589"/>
      <c r="D99" s="589"/>
      <c r="E99" s="589"/>
      <c r="F99" s="589"/>
      <c r="G99" s="589"/>
      <c r="H99" s="589"/>
      <c r="I99" s="589"/>
      <c r="J99" s="589"/>
      <c r="K99" s="589"/>
      <c r="L99" s="589"/>
      <c r="M99" s="590"/>
      <c r="N99" s="1149"/>
      <c r="O99" s="1149"/>
      <c r="P99" s="2614"/>
      <c r="Q99" s="502"/>
    </row>
    <row r="100" spans="1:17" ht="14.4">
      <c r="A100" s="525" t="s">
        <v>2545</v>
      </c>
      <c r="B100" s="526" t="s">
        <v>2594</v>
      </c>
      <c r="C100" s="528"/>
      <c r="D100" s="528"/>
      <c r="E100" s="528"/>
      <c r="F100" s="528"/>
      <c r="G100" s="528"/>
      <c r="H100" s="528"/>
      <c r="I100" s="528"/>
      <c r="J100" s="528"/>
      <c r="K100" s="529"/>
      <c r="L100" s="530"/>
      <c r="M100" s="531"/>
      <c r="N100" s="1148"/>
      <c r="O100" s="1148"/>
      <c r="P100" s="2614"/>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4.4"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9.4"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4.4"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29.4"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4.4"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4.4" thickBot="1">
      <c r="A127" s="551"/>
      <c r="B127" s="541"/>
      <c r="C127" s="558"/>
      <c r="D127" s="534"/>
      <c r="E127" s="534"/>
      <c r="F127" s="534"/>
      <c r="G127" s="558"/>
      <c r="H127" s="560"/>
      <c r="I127" s="560"/>
      <c r="J127" s="560"/>
      <c r="K127" s="560"/>
      <c r="L127" s="560"/>
      <c r="M127" s="561"/>
      <c r="N127" s="1150"/>
      <c r="O127" s="1150"/>
      <c r="P127" s="2615"/>
      <c r="Q127" s="557"/>
    </row>
    <row r="128" spans="1:17" ht="14.4" thickTop="1">
      <c r="A128" s="597"/>
      <c r="B128" s="536">
        <f>B45</f>
        <v>111</v>
      </c>
      <c r="C128" s="552"/>
      <c r="D128" s="552"/>
      <c r="E128" s="552"/>
      <c r="F128" s="552"/>
      <c r="G128" s="581"/>
      <c r="H128" s="581"/>
      <c r="I128" s="581"/>
      <c r="J128" s="581"/>
      <c r="K128" s="582"/>
      <c r="L128" s="583"/>
      <c r="M128" s="584"/>
      <c r="N128" s="1148"/>
      <c r="O128" s="1148"/>
      <c r="P128" s="2614"/>
      <c r="Q128" s="502"/>
    </row>
    <row r="129" spans="1:17" ht="14.4" thickBot="1">
      <c r="A129" s="532"/>
      <c r="B129" s="541"/>
      <c r="C129" s="558"/>
      <c r="D129" s="558"/>
      <c r="E129" s="558"/>
      <c r="F129" s="558"/>
      <c r="G129" s="534"/>
      <c r="H129" s="534"/>
      <c r="I129" s="534"/>
      <c r="J129" s="534"/>
      <c r="K129" s="534"/>
      <c r="L129" s="534"/>
      <c r="M129" s="535"/>
      <c r="N129" s="1149"/>
      <c r="O129" s="1149"/>
      <c r="P129" s="2614"/>
      <c r="Q129" s="502"/>
    </row>
    <row r="130" spans="1:17" ht="14.4" thickTop="1">
      <c r="A130" s="597"/>
      <c r="B130" s="544">
        <f>B46</f>
        <v>111</v>
      </c>
      <c r="C130" s="552"/>
      <c r="D130" s="552"/>
      <c r="E130" s="552"/>
      <c r="F130" s="552"/>
      <c r="G130" s="585"/>
      <c r="H130" s="585"/>
      <c r="I130" s="585"/>
      <c r="J130" s="585"/>
      <c r="K130" s="521"/>
      <c r="L130" s="522"/>
      <c r="M130" s="588"/>
      <c r="N130" s="1148"/>
      <c r="O130" s="1148"/>
      <c r="P130" s="2614"/>
      <c r="Q130" s="502"/>
    </row>
    <row r="131" spans="1:17" ht="14.4"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6.2"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ht="14.4">
      <c r="B147" s="2621" t="s">
        <v>2622</v>
      </c>
    </row>
    <row r="148" spans="2:11" ht="14.4">
      <c r="B148" s="2621"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08"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4.4">
      <c r="A4" s="399" t="s">
        <v>2627</v>
      </c>
      <c r="B4" s="400"/>
      <c r="C4" s="3339" t="s">
        <v>2628</v>
      </c>
      <c r="D4" s="3352"/>
      <c r="E4" s="3353" t="s">
        <v>2629</v>
      </c>
      <c r="F4" s="3354"/>
      <c r="G4" s="3339" t="s">
        <v>2630</v>
      </c>
      <c r="H4" s="3352"/>
      <c r="I4" s="3339" t="s">
        <v>2631</v>
      </c>
      <c r="J4" s="3352"/>
      <c r="K4" s="608" t="s">
        <v>2632</v>
      </c>
      <c r="L4" s="1126"/>
      <c r="M4" s="1127"/>
      <c r="N4" s="1127"/>
      <c r="O4" s="1127"/>
      <c r="P4" s="3355" t="s">
        <v>2633</v>
      </c>
      <c r="Q4" s="3356"/>
      <c r="R4" s="3361" t="s">
        <v>2629</v>
      </c>
      <c r="S4" s="3362"/>
      <c r="T4" s="3361" t="s">
        <v>2630</v>
      </c>
      <c r="U4" s="3362"/>
      <c r="V4" s="3348" t="s">
        <v>2631</v>
      </c>
      <c r="W4" s="3348"/>
      <c r="X4" s="1807"/>
      <c r="Y4" s="3361" t="s">
        <v>2633</v>
      </c>
      <c r="Z4" s="3362"/>
      <c r="AA4" s="3349" t="s">
        <v>2629</v>
      </c>
      <c r="AB4" s="3348" t="s">
        <v>2630</v>
      </c>
      <c r="AC4" s="3349" t="s">
        <v>2631</v>
      </c>
    </row>
    <row r="5" spans="1:29">
      <c r="A5" s="402"/>
      <c r="B5" s="403"/>
      <c r="C5" s="3369" t="s">
        <v>2524</v>
      </c>
      <c r="D5" s="3370"/>
      <c r="E5" s="3376" t="s">
        <v>2525</v>
      </c>
      <c r="F5" s="3377"/>
      <c r="G5" s="3369" t="s">
        <v>2526</v>
      </c>
      <c r="H5" s="3370"/>
      <c r="I5" s="3369" t="s">
        <v>2527</v>
      </c>
      <c r="J5" s="3370"/>
      <c r="K5" s="608"/>
      <c r="L5" s="1126"/>
      <c r="M5" s="1127"/>
      <c r="N5" s="1127"/>
      <c r="O5" s="1127"/>
      <c r="P5" s="3357"/>
      <c r="Q5" s="3358"/>
      <c r="R5" s="3363"/>
      <c r="S5" s="3364"/>
      <c r="T5" s="3363"/>
      <c r="U5" s="3364"/>
      <c r="V5" s="3348"/>
      <c r="W5" s="3348"/>
      <c r="X5" s="1807"/>
      <c r="Y5" s="3363"/>
      <c r="Z5" s="3364"/>
      <c r="AA5" s="3350"/>
      <c r="AB5" s="3348"/>
      <c r="AC5" s="3350"/>
    </row>
    <row r="6" spans="1:29" ht="15" thickBot="1">
      <c r="A6" s="404"/>
      <c r="B6" s="405"/>
      <c r="C6" s="3367" t="s">
        <v>2528</v>
      </c>
      <c r="D6" s="3368"/>
      <c r="E6" s="3374" t="s">
        <v>2528</v>
      </c>
      <c r="F6" s="3375"/>
      <c r="G6" s="3367" t="s">
        <v>2528</v>
      </c>
      <c r="H6" s="3368"/>
      <c r="I6" s="3367" t="s">
        <v>2528</v>
      </c>
      <c r="J6" s="3368"/>
      <c r="K6" s="608" t="s">
        <v>2529</v>
      </c>
      <c r="L6" s="1126"/>
      <c r="M6" s="1127"/>
      <c r="N6" s="1127"/>
      <c r="O6" s="1127"/>
      <c r="P6" s="3359"/>
      <c r="Q6" s="3360"/>
      <c r="R6" s="3363"/>
      <c r="S6" s="3364"/>
      <c r="T6" s="3365"/>
      <c r="U6" s="3366"/>
      <c r="V6" s="3348"/>
      <c r="W6" s="3348"/>
      <c r="X6" s="1807"/>
      <c r="Y6" s="3365"/>
      <c r="Z6" s="3366"/>
      <c r="AA6" s="3351"/>
      <c r="AB6" s="3348"/>
      <c r="AC6" s="3351"/>
    </row>
    <row r="7" spans="1:29" s="115" customFormat="1" ht="1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71" t="s">
        <v>2531</v>
      </c>
      <c r="Q7" s="3373"/>
      <c r="R7" s="768" t="s">
        <v>17</v>
      </c>
      <c r="S7" s="769">
        <f t="shared" ref="S7:S15" si="0">F7</f>
        <v>0</v>
      </c>
      <c r="T7" s="768" t="s">
        <v>17</v>
      </c>
      <c r="U7" s="769">
        <f t="shared" ref="U7:U15" si="1">H7</f>
        <v>0</v>
      </c>
      <c r="V7" s="768" t="s">
        <v>17</v>
      </c>
      <c r="W7" s="769">
        <f t="shared" ref="W7:W15" si="2">J7</f>
        <v>0</v>
      </c>
      <c r="X7" s="770"/>
      <c r="Y7" s="3371" t="s">
        <v>2531</v>
      </c>
      <c r="Z7" s="3372"/>
      <c r="AA7" s="771" t="e">
        <f>D7/F7</f>
        <v>#DIV/0!</v>
      </c>
      <c r="AB7" s="771" t="e">
        <f>D7/H7</f>
        <v>#DIV/0!</v>
      </c>
      <c r="AC7" s="771" t="e">
        <f>D7/J7</f>
        <v>#DIV/0!</v>
      </c>
    </row>
    <row r="8" spans="1:29" s="115" customFormat="1" ht="1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71" t="s">
        <v>2534</v>
      </c>
      <c r="Q8" s="3372"/>
      <c r="R8" s="768" t="s">
        <v>17</v>
      </c>
      <c r="S8" s="769">
        <f t="shared" si="0"/>
        <v>0</v>
      </c>
      <c r="T8" s="768" t="s">
        <v>17</v>
      </c>
      <c r="U8" s="769">
        <f t="shared" si="1"/>
        <v>0</v>
      </c>
      <c r="V8" s="768" t="s">
        <v>17</v>
      </c>
      <c r="W8" s="769">
        <f t="shared" si="2"/>
        <v>0</v>
      </c>
      <c r="X8" s="770"/>
      <c r="Y8" s="3371" t="s">
        <v>2534</v>
      </c>
      <c r="Z8" s="3372"/>
      <c r="AA8" s="771" t="e">
        <f t="shared" ref="AA8:AA46" si="3">D8/F8</f>
        <v>#DIV/0!</v>
      </c>
      <c r="AB8" s="771" t="e">
        <f t="shared" ref="AB8:AB46" si="4">D8/H8</f>
        <v>#DIV/0!</v>
      </c>
      <c r="AC8" s="771" t="e">
        <f t="shared" ref="AC8:AC46" si="5">D8/J8</f>
        <v>#DIV/0!</v>
      </c>
    </row>
    <row r="9" spans="1:29" s="115" customFormat="1" ht="14.4">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41" t="s">
        <v>2537</v>
      </c>
      <c r="Q9" s="1789" t="str">
        <f t="shared" ref="Q9:Q15" si="6">B9</f>
        <v>用途</v>
      </c>
      <c r="R9" s="768" t="s">
        <v>17</v>
      </c>
      <c r="S9" s="769">
        <f t="shared" si="0"/>
        <v>100</v>
      </c>
      <c r="T9" s="768" t="s">
        <v>17</v>
      </c>
      <c r="U9" s="769">
        <f t="shared" si="1"/>
        <v>100</v>
      </c>
      <c r="V9" s="768" t="s">
        <v>17</v>
      </c>
      <c r="W9" s="769">
        <f t="shared" si="2"/>
        <v>100</v>
      </c>
      <c r="X9" s="770"/>
      <c r="Y9" s="3170" t="s">
        <v>2538</v>
      </c>
      <c r="Z9" s="55" t="str">
        <f t="shared" ref="Z9:Z15" si="7">Q9</f>
        <v>用途</v>
      </c>
      <c r="AA9" s="771">
        <f t="shared" si="3"/>
        <v>1</v>
      </c>
      <c r="AB9" s="771">
        <f t="shared" si="4"/>
        <v>1</v>
      </c>
      <c r="AC9" s="771">
        <f t="shared" si="5"/>
        <v>1</v>
      </c>
    </row>
    <row r="10" spans="1:29" s="425" customFormat="1" ht="28.8">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41"/>
      <c r="Q10" s="1789" t="str">
        <f t="shared" si="6"/>
        <v>土地使用年限（年）</v>
      </c>
      <c r="R10" s="768" t="s">
        <v>17</v>
      </c>
      <c r="S10" s="769">
        <f t="shared" si="0"/>
        <v>100</v>
      </c>
      <c r="T10" s="768" t="s">
        <v>17</v>
      </c>
      <c r="U10" s="769">
        <f t="shared" si="1"/>
        <v>100</v>
      </c>
      <c r="V10" s="768" t="s">
        <v>17</v>
      </c>
      <c r="W10" s="769">
        <f t="shared" si="2"/>
        <v>100</v>
      </c>
      <c r="X10" s="770"/>
      <c r="Y10" s="3170"/>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41"/>
      <c r="Q11" s="1789" t="str">
        <f t="shared" si="6"/>
        <v>容积率</v>
      </c>
      <c r="R11" s="768" t="s">
        <v>17</v>
      </c>
      <c r="S11" s="769" t="e">
        <f t="shared" si="0"/>
        <v>#N/A</v>
      </c>
      <c r="T11" s="768" t="s">
        <v>17</v>
      </c>
      <c r="U11" s="769" t="e">
        <f t="shared" si="1"/>
        <v>#N/A</v>
      </c>
      <c r="V11" s="768" t="s">
        <v>17</v>
      </c>
      <c r="W11" s="769" t="e">
        <f t="shared" si="2"/>
        <v>#N/A</v>
      </c>
      <c r="X11" s="770"/>
      <c r="Y11" s="3170"/>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41"/>
      <c r="Q12" s="1789">
        <f t="shared" si="6"/>
        <v>111</v>
      </c>
      <c r="R12" s="768" t="s">
        <v>17</v>
      </c>
      <c r="S12" s="769">
        <f t="shared" si="0"/>
        <v>100</v>
      </c>
      <c r="T12" s="768" t="s">
        <v>17</v>
      </c>
      <c r="U12" s="769">
        <f t="shared" si="1"/>
        <v>100</v>
      </c>
      <c r="V12" s="768" t="s">
        <v>17</v>
      </c>
      <c r="W12" s="769">
        <f t="shared" si="2"/>
        <v>100</v>
      </c>
      <c r="X12" s="770"/>
      <c r="Y12" s="3170"/>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41"/>
      <c r="Q13" s="1789">
        <f t="shared" si="6"/>
        <v>111</v>
      </c>
      <c r="R13" s="768" t="s">
        <v>17</v>
      </c>
      <c r="S13" s="769">
        <f t="shared" si="0"/>
        <v>100</v>
      </c>
      <c r="T13" s="768" t="s">
        <v>17</v>
      </c>
      <c r="U13" s="769">
        <f t="shared" si="1"/>
        <v>100</v>
      </c>
      <c r="V13" s="768" t="s">
        <v>17</v>
      </c>
      <c r="W13" s="769">
        <f t="shared" si="2"/>
        <v>100</v>
      </c>
      <c r="X13" s="770"/>
      <c r="Y13" s="3170"/>
      <c r="Z13" s="55">
        <f t="shared" si="7"/>
        <v>111</v>
      </c>
      <c r="AA13" s="771">
        <f t="shared" si="3"/>
        <v>1</v>
      </c>
      <c r="AB13" s="771">
        <f t="shared" si="4"/>
        <v>1</v>
      </c>
      <c r="AC13" s="771">
        <f t="shared" si="5"/>
        <v>1</v>
      </c>
    </row>
    <row r="14" spans="1:29" ht="15.6"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41"/>
      <c r="Q14" s="1789">
        <f t="shared" si="6"/>
        <v>111</v>
      </c>
      <c r="R14" s="768" t="s">
        <v>17</v>
      </c>
      <c r="S14" s="769">
        <f t="shared" si="0"/>
        <v>100</v>
      </c>
      <c r="T14" s="768" t="s">
        <v>17</v>
      </c>
      <c r="U14" s="769">
        <f t="shared" si="1"/>
        <v>100</v>
      </c>
      <c r="V14" s="768" t="s">
        <v>17</v>
      </c>
      <c r="W14" s="769">
        <f t="shared" si="2"/>
        <v>100</v>
      </c>
      <c r="X14" s="770"/>
      <c r="Y14" s="3170"/>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411" t="s">
        <v>2542</v>
      </c>
      <c r="Q15" s="1804" t="str">
        <f t="shared" si="6"/>
        <v>商业繁华度</v>
      </c>
      <c r="R15" s="772" t="s">
        <v>17</v>
      </c>
      <c r="S15" s="773">
        <f t="shared" si="0"/>
        <v>100</v>
      </c>
      <c r="T15" s="772" t="s">
        <v>17</v>
      </c>
      <c r="U15" s="773">
        <f t="shared" si="1"/>
        <v>100</v>
      </c>
      <c r="V15" s="772" t="s">
        <v>17</v>
      </c>
      <c r="W15" s="773">
        <f t="shared" si="2"/>
        <v>100</v>
      </c>
      <c r="X15" s="1807"/>
      <c r="Y15" s="3344"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412"/>
      <c r="Q16" s="1804"/>
      <c r="R16" s="772"/>
      <c r="S16" s="773"/>
      <c r="T16" s="772"/>
      <c r="U16" s="773"/>
      <c r="V16" s="772"/>
      <c r="W16" s="773"/>
      <c r="X16" s="1807"/>
      <c r="Y16" s="3345"/>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412"/>
      <c r="Q17" s="1804" t="str">
        <f>B17</f>
        <v>交通便捷度</v>
      </c>
      <c r="R17" s="772" t="s">
        <v>17</v>
      </c>
      <c r="S17" s="773">
        <f>F17</f>
        <v>100</v>
      </c>
      <c r="T17" s="772" t="s">
        <v>17</v>
      </c>
      <c r="U17" s="773">
        <f>H17</f>
        <v>100</v>
      </c>
      <c r="V17" s="772" t="s">
        <v>17</v>
      </c>
      <c r="W17" s="773">
        <f>J17</f>
        <v>100</v>
      </c>
      <c r="X17" s="1807"/>
      <c r="Y17" s="3345"/>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412"/>
      <c r="Q18" s="1804"/>
      <c r="R18" s="772"/>
      <c r="S18" s="773"/>
      <c r="T18" s="772"/>
      <c r="U18" s="773"/>
      <c r="V18" s="772"/>
      <c r="W18" s="773"/>
      <c r="X18" s="1807"/>
      <c r="Y18" s="3345"/>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412"/>
      <c r="Q19" s="1804" t="str">
        <f>B19</f>
        <v>公共配套设施</v>
      </c>
      <c r="R19" s="772" t="s">
        <v>17</v>
      </c>
      <c r="S19" s="773">
        <f>F19</f>
        <v>100</v>
      </c>
      <c r="T19" s="772" t="s">
        <v>17</v>
      </c>
      <c r="U19" s="773">
        <f>H19</f>
        <v>100</v>
      </c>
      <c r="V19" s="772" t="s">
        <v>17</v>
      </c>
      <c r="W19" s="773">
        <f>J19</f>
        <v>100</v>
      </c>
      <c r="X19" s="1807"/>
      <c r="Y19" s="3345"/>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412"/>
      <c r="Q20" s="1804"/>
      <c r="R20" s="772"/>
      <c r="S20" s="773"/>
      <c r="T20" s="772"/>
      <c r="U20" s="773"/>
      <c r="V20" s="772"/>
      <c r="W20" s="773"/>
      <c r="X20" s="1807"/>
      <c r="Y20" s="3345"/>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412"/>
      <c r="Q21" s="1804" t="str">
        <f>B21</f>
        <v>基础设施水平</v>
      </c>
      <c r="R21" s="772" t="s">
        <v>17</v>
      </c>
      <c r="S21" s="773">
        <f>F21</f>
        <v>100</v>
      </c>
      <c r="T21" s="772" t="s">
        <v>17</v>
      </c>
      <c r="U21" s="773">
        <f>H21</f>
        <v>100</v>
      </c>
      <c r="V21" s="772" t="s">
        <v>17</v>
      </c>
      <c r="W21" s="773">
        <f>J21</f>
        <v>100</v>
      </c>
      <c r="X21" s="1807"/>
      <c r="Y21" s="3345"/>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412"/>
      <c r="Q22" s="1804"/>
      <c r="R22" s="772"/>
      <c r="S22" s="773"/>
      <c r="T22" s="772"/>
      <c r="U22" s="773"/>
      <c r="V22" s="772"/>
      <c r="W22" s="773"/>
      <c r="X22" s="1807"/>
      <c r="Y22" s="3345"/>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412"/>
      <c r="Q23" s="1804" t="str">
        <f>B23</f>
        <v>自然及人文环境</v>
      </c>
      <c r="R23" s="772" t="s">
        <v>17</v>
      </c>
      <c r="S23" s="773">
        <f>F23</f>
        <v>100</v>
      </c>
      <c r="T23" s="772" t="s">
        <v>17</v>
      </c>
      <c r="U23" s="773">
        <f>H23</f>
        <v>100</v>
      </c>
      <c r="V23" s="772" t="s">
        <v>17</v>
      </c>
      <c r="W23" s="773">
        <f>J23</f>
        <v>100</v>
      </c>
      <c r="X23" s="1807"/>
      <c r="Y23" s="3345"/>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412"/>
      <c r="Q24" s="1804"/>
      <c r="R24" s="772"/>
      <c r="S24" s="773"/>
      <c r="T24" s="772"/>
      <c r="U24" s="773"/>
      <c r="V24" s="772"/>
      <c r="W24" s="773"/>
      <c r="X24" s="1807"/>
      <c r="Y24" s="3345"/>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412"/>
      <c r="Q25" s="1804" t="str">
        <f t="shared" ref="Q25:Q46" si="11">B25</f>
        <v>临街状况</v>
      </c>
      <c r="R25" s="772" t="s">
        <v>17</v>
      </c>
      <c r="S25" s="773">
        <f>F25</f>
        <v>100</v>
      </c>
      <c r="T25" s="772" t="s">
        <v>17</v>
      </c>
      <c r="U25" s="773">
        <f>H25</f>
        <v>100</v>
      </c>
      <c r="V25" s="772" t="s">
        <v>17</v>
      </c>
      <c r="W25" s="773">
        <f>J25</f>
        <v>100</v>
      </c>
      <c r="X25" s="1807"/>
      <c r="Y25" s="3345"/>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412"/>
      <c r="Q26" s="1804" t="str">
        <f t="shared" si="11"/>
        <v>平面位置/可视性</v>
      </c>
      <c r="R26" s="772" t="s">
        <v>17</v>
      </c>
      <c r="S26" s="773">
        <f>F26</f>
        <v>100</v>
      </c>
      <c r="T26" s="772" t="s">
        <v>17</v>
      </c>
      <c r="U26" s="773">
        <f>H26</f>
        <v>100</v>
      </c>
      <c r="V26" s="772" t="s">
        <v>17</v>
      </c>
      <c r="W26" s="773">
        <f>J26</f>
        <v>100</v>
      </c>
      <c r="X26" s="1807"/>
      <c r="Y26" s="3345"/>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412"/>
      <c r="Q27" s="1789" t="str">
        <f t="shared" si="11"/>
        <v>人流量</v>
      </c>
      <c r="R27" s="768" t="s">
        <v>17</v>
      </c>
      <c r="S27" s="769">
        <f>F27</f>
        <v>100</v>
      </c>
      <c r="T27" s="768" t="s">
        <v>17</v>
      </c>
      <c r="U27" s="769">
        <f>H27</f>
        <v>100</v>
      </c>
      <c r="V27" s="768" t="s">
        <v>17</v>
      </c>
      <c r="W27" s="769">
        <f>J27</f>
        <v>100</v>
      </c>
      <c r="X27" s="770"/>
      <c r="Y27" s="3345"/>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412"/>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45"/>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412"/>
      <c r="Q29" s="1804">
        <f t="shared" si="11"/>
        <v>111</v>
      </c>
      <c r="R29" s="772" t="s">
        <v>17</v>
      </c>
      <c r="S29" s="773">
        <f t="shared" si="12"/>
        <v>100</v>
      </c>
      <c r="T29" s="772" t="s">
        <v>17</v>
      </c>
      <c r="U29" s="773">
        <f t="shared" si="13"/>
        <v>100</v>
      </c>
      <c r="V29" s="772" t="s">
        <v>17</v>
      </c>
      <c r="W29" s="773">
        <f t="shared" si="14"/>
        <v>100</v>
      </c>
      <c r="X29" s="1807"/>
      <c r="Y29" s="3345"/>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412"/>
      <c r="Q30" s="1804">
        <f t="shared" si="11"/>
        <v>111</v>
      </c>
      <c r="R30" s="772" t="s">
        <v>17</v>
      </c>
      <c r="S30" s="773">
        <f t="shared" si="12"/>
        <v>100</v>
      </c>
      <c r="T30" s="772" t="s">
        <v>17</v>
      </c>
      <c r="U30" s="773">
        <f t="shared" si="13"/>
        <v>100</v>
      </c>
      <c r="V30" s="772" t="s">
        <v>17</v>
      </c>
      <c r="W30" s="773">
        <f t="shared" si="14"/>
        <v>100</v>
      </c>
      <c r="X30" s="1807"/>
      <c r="Y30" s="3345"/>
      <c r="Z30" s="1808">
        <f t="shared" si="15"/>
        <v>111</v>
      </c>
      <c r="AA30" s="1805">
        <f t="shared" si="3"/>
        <v>1</v>
      </c>
      <c r="AB30" s="1805">
        <f t="shared" si="4"/>
        <v>1</v>
      </c>
      <c r="AC30" s="1805">
        <f t="shared" si="5"/>
        <v>1</v>
      </c>
    </row>
    <row r="31" spans="1:29" ht="15.6"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412"/>
      <c r="Q31" s="1804">
        <f t="shared" si="11"/>
        <v>111</v>
      </c>
      <c r="R31" s="772" t="s">
        <v>17</v>
      </c>
      <c r="S31" s="773">
        <f t="shared" si="12"/>
        <v>100</v>
      </c>
      <c r="T31" s="772" t="s">
        <v>17</v>
      </c>
      <c r="U31" s="773">
        <f t="shared" si="13"/>
        <v>100</v>
      </c>
      <c r="V31" s="772" t="s">
        <v>17</v>
      </c>
      <c r="W31" s="773">
        <f t="shared" si="14"/>
        <v>100</v>
      </c>
      <c r="X31" s="1807"/>
      <c r="Y31" s="3345"/>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407" t="s">
        <v>2547</v>
      </c>
      <c r="Q32" s="1804" t="str">
        <f t="shared" si="11"/>
        <v>商业类型</v>
      </c>
      <c r="R32" s="772" t="s">
        <v>17</v>
      </c>
      <c r="S32" s="773">
        <f t="shared" si="12"/>
        <v>100</v>
      </c>
      <c r="T32" s="772" t="s">
        <v>17</v>
      </c>
      <c r="U32" s="773">
        <f t="shared" si="13"/>
        <v>100</v>
      </c>
      <c r="V32" s="772" t="s">
        <v>17</v>
      </c>
      <c r="W32" s="773">
        <f t="shared" si="14"/>
        <v>100</v>
      </c>
      <c r="X32" s="1807"/>
      <c r="Y32" s="3347"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408"/>
      <c r="Q33" s="774" t="str">
        <f t="shared" si="11"/>
        <v>项目建筑规模</v>
      </c>
      <c r="R33" s="775" t="s">
        <v>17</v>
      </c>
      <c r="S33" s="776" t="e">
        <f t="shared" si="12"/>
        <v>#N/A</v>
      </c>
      <c r="T33" s="775" t="s">
        <v>17</v>
      </c>
      <c r="U33" s="776" t="e">
        <f t="shared" si="13"/>
        <v>#N/A</v>
      </c>
      <c r="V33" s="775" t="s">
        <v>17</v>
      </c>
      <c r="W33" s="776" t="e">
        <f t="shared" si="14"/>
        <v>#N/A</v>
      </c>
      <c r="X33" s="777"/>
      <c r="Y33" s="3347"/>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408"/>
      <c r="Q34" s="1804" t="str">
        <f t="shared" si="11"/>
        <v>建筑结构</v>
      </c>
      <c r="R34" s="772" t="s">
        <v>17</v>
      </c>
      <c r="S34" s="773">
        <f t="shared" si="12"/>
        <v>100</v>
      </c>
      <c r="T34" s="772" t="s">
        <v>17</v>
      </c>
      <c r="U34" s="773">
        <f t="shared" si="13"/>
        <v>100</v>
      </c>
      <c r="V34" s="772" t="s">
        <v>17</v>
      </c>
      <c r="W34" s="773">
        <f t="shared" si="14"/>
        <v>100</v>
      </c>
      <c r="X34" s="1807"/>
      <c r="Y34" s="3347"/>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408"/>
      <c r="Q35" s="1804" t="str">
        <f t="shared" si="11"/>
        <v>公共部分装修</v>
      </c>
      <c r="R35" s="772" t="s">
        <v>17</v>
      </c>
      <c r="S35" s="773">
        <f t="shared" si="12"/>
        <v>100</v>
      </c>
      <c r="T35" s="772" t="s">
        <v>17</v>
      </c>
      <c r="U35" s="773">
        <f t="shared" si="13"/>
        <v>100</v>
      </c>
      <c r="V35" s="772" t="s">
        <v>17</v>
      </c>
      <c r="W35" s="773">
        <f t="shared" si="14"/>
        <v>100</v>
      </c>
      <c r="X35" s="1807"/>
      <c r="Y35" s="3347"/>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408"/>
      <c r="Q36" s="1804" t="str">
        <f t="shared" si="11"/>
        <v>成新度</v>
      </c>
      <c r="R36" s="772" t="s">
        <v>17</v>
      </c>
      <c r="S36" s="773" t="e">
        <f t="shared" si="12"/>
        <v>#N/A</v>
      </c>
      <c r="T36" s="772" t="s">
        <v>17</v>
      </c>
      <c r="U36" s="773" t="e">
        <f t="shared" si="13"/>
        <v>#N/A</v>
      </c>
      <c r="V36" s="772" t="s">
        <v>17</v>
      </c>
      <c r="W36" s="773" t="e">
        <f t="shared" si="14"/>
        <v>#N/A</v>
      </c>
      <c r="X36" s="1807"/>
      <c r="Y36" s="3347"/>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408"/>
      <c r="Q37" s="1789" t="str">
        <f t="shared" si="11"/>
        <v>市政基础设施</v>
      </c>
      <c r="R37" s="768" t="s">
        <v>17</v>
      </c>
      <c r="S37" s="769">
        <f t="shared" si="12"/>
        <v>100</v>
      </c>
      <c r="T37" s="768" t="s">
        <v>17</v>
      </c>
      <c r="U37" s="769">
        <f t="shared" si="13"/>
        <v>100</v>
      </c>
      <c r="V37" s="768" t="s">
        <v>17</v>
      </c>
      <c r="W37" s="769">
        <f t="shared" si="14"/>
        <v>100</v>
      </c>
      <c r="X37" s="770"/>
      <c r="Y37" s="3347"/>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408" t="s">
        <v>2547</v>
      </c>
      <c r="Q38" s="1804" t="str">
        <f t="shared" si="11"/>
        <v>业态</v>
      </c>
      <c r="R38" s="772" t="s">
        <v>17</v>
      </c>
      <c r="S38" s="773">
        <f t="shared" si="12"/>
        <v>100</v>
      </c>
      <c r="T38" s="772" t="s">
        <v>17</v>
      </c>
      <c r="U38" s="773">
        <f t="shared" si="13"/>
        <v>100</v>
      </c>
      <c r="V38" s="772" t="s">
        <v>17</v>
      </c>
      <c r="W38" s="773">
        <f t="shared" si="14"/>
        <v>100</v>
      </c>
      <c r="X38" s="1807"/>
      <c r="Y38" s="3347"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408"/>
      <c r="Q39" s="1804" t="str">
        <f t="shared" si="11"/>
        <v>层高</v>
      </c>
      <c r="R39" s="772" t="s">
        <v>17</v>
      </c>
      <c r="S39" s="773">
        <f t="shared" si="12"/>
        <v>100</v>
      </c>
      <c r="T39" s="772" t="s">
        <v>17</v>
      </c>
      <c r="U39" s="773">
        <f t="shared" si="13"/>
        <v>100</v>
      </c>
      <c r="V39" s="772" t="s">
        <v>17</v>
      </c>
      <c r="W39" s="773">
        <f t="shared" si="14"/>
        <v>100</v>
      </c>
      <c r="X39" s="1807"/>
      <c r="Y39" s="3347"/>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408"/>
      <c r="Q40" s="1804" t="str">
        <f t="shared" si="11"/>
        <v>单套建筑面积</v>
      </c>
      <c r="R40" s="772" t="s">
        <v>17</v>
      </c>
      <c r="S40" s="773">
        <f t="shared" si="12"/>
        <v>100</v>
      </c>
      <c r="T40" s="772" t="s">
        <v>17</v>
      </c>
      <c r="U40" s="773">
        <f t="shared" si="13"/>
        <v>100</v>
      </c>
      <c r="V40" s="772" t="s">
        <v>17</v>
      </c>
      <c r="W40" s="773">
        <f t="shared" si="14"/>
        <v>100</v>
      </c>
      <c r="X40" s="1807"/>
      <c r="Y40" s="3347"/>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408"/>
      <c r="Q41" s="774" t="str">
        <f t="shared" si="11"/>
        <v>进深比</v>
      </c>
      <c r="R41" s="775" t="s">
        <v>17</v>
      </c>
      <c r="S41" s="776">
        <f t="shared" si="12"/>
        <v>100</v>
      </c>
      <c r="T41" s="775" t="s">
        <v>17</v>
      </c>
      <c r="U41" s="776">
        <f t="shared" si="13"/>
        <v>100</v>
      </c>
      <c r="V41" s="775" t="s">
        <v>17</v>
      </c>
      <c r="W41" s="776">
        <f t="shared" si="14"/>
        <v>100</v>
      </c>
      <c r="X41" s="777"/>
      <c r="Y41" s="3347"/>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408"/>
      <c r="Q42" s="1804" t="str">
        <f t="shared" si="11"/>
        <v>内部装修</v>
      </c>
      <c r="R42" s="772" t="s">
        <v>17</v>
      </c>
      <c r="S42" s="773">
        <f t="shared" si="12"/>
        <v>100</v>
      </c>
      <c r="T42" s="772" t="s">
        <v>17</v>
      </c>
      <c r="U42" s="773">
        <f t="shared" si="13"/>
        <v>100</v>
      </c>
      <c r="V42" s="772" t="s">
        <v>17</v>
      </c>
      <c r="W42" s="773">
        <f t="shared" si="14"/>
        <v>100</v>
      </c>
      <c r="X42" s="1807"/>
      <c r="Y42" s="3347"/>
      <c r="Z42" s="1808" t="str">
        <f t="shared" si="15"/>
        <v>内部装修</v>
      </c>
      <c r="AA42" s="1805">
        <f t="shared" si="3"/>
        <v>1</v>
      </c>
      <c r="AB42" s="1805">
        <f t="shared" si="4"/>
        <v>1</v>
      </c>
      <c r="AC42" s="1805">
        <f t="shared" si="5"/>
        <v>1</v>
      </c>
    </row>
    <row r="43" spans="1:29" ht="28.8">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408"/>
      <c r="Q43" s="1804" t="str">
        <f t="shared" si="11"/>
        <v>内部装修维护情况</v>
      </c>
      <c r="R43" s="772" t="s">
        <v>17</v>
      </c>
      <c r="S43" s="773">
        <f t="shared" si="12"/>
        <v>100</v>
      </c>
      <c r="T43" s="772" t="s">
        <v>17</v>
      </c>
      <c r="U43" s="773">
        <f t="shared" si="13"/>
        <v>100</v>
      </c>
      <c r="V43" s="772" t="s">
        <v>17</v>
      </c>
      <c r="W43" s="773">
        <f t="shared" si="14"/>
        <v>100</v>
      </c>
      <c r="X43" s="1807"/>
      <c r="Y43" s="3347"/>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408"/>
      <c r="Q44" s="1789">
        <f t="shared" si="11"/>
        <v>111</v>
      </c>
      <c r="R44" s="768" t="s">
        <v>17</v>
      </c>
      <c r="S44" s="769">
        <f t="shared" si="12"/>
        <v>100</v>
      </c>
      <c r="T44" s="768" t="s">
        <v>17</v>
      </c>
      <c r="U44" s="769">
        <f t="shared" si="13"/>
        <v>100</v>
      </c>
      <c r="V44" s="768" t="s">
        <v>17</v>
      </c>
      <c r="W44" s="769">
        <f t="shared" si="14"/>
        <v>100</v>
      </c>
      <c r="X44" s="770"/>
      <c r="Y44" s="3347"/>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408"/>
      <c r="Q45" s="1804">
        <f t="shared" si="11"/>
        <v>111</v>
      </c>
      <c r="R45" s="772" t="s">
        <v>17</v>
      </c>
      <c r="S45" s="773">
        <f t="shared" si="12"/>
        <v>100</v>
      </c>
      <c r="T45" s="772" t="s">
        <v>17</v>
      </c>
      <c r="U45" s="773">
        <f t="shared" si="13"/>
        <v>100</v>
      </c>
      <c r="V45" s="772" t="s">
        <v>17</v>
      </c>
      <c r="W45" s="773">
        <f t="shared" si="14"/>
        <v>100</v>
      </c>
      <c r="X45" s="1807"/>
      <c r="Y45" s="3347"/>
      <c r="Z45" s="1808">
        <f t="shared" si="15"/>
        <v>111</v>
      </c>
      <c r="AA45" s="1805">
        <f t="shared" si="3"/>
        <v>1</v>
      </c>
      <c r="AB45" s="1805">
        <f t="shared" si="4"/>
        <v>1</v>
      </c>
      <c r="AC45" s="1805">
        <f t="shared" si="5"/>
        <v>1</v>
      </c>
    </row>
    <row r="46" spans="1:29" ht="15.6"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409"/>
      <c r="Q46" s="1804">
        <f t="shared" si="11"/>
        <v>111</v>
      </c>
      <c r="R46" s="772" t="s">
        <v>17</v>
      </c>
      <c r="S46" s="773">
        <f t="shared" si="12"/>
        <v>100</v>
      </c>
      <c r="T46" s="772" t="s">
        <v>17</v>
      </c>
      <c r="U46" s="773">
        <f t="shared" si="13"/>
        <v>100</v>
      </c>
      <c r="V46" s="772" t="s">
        <v>17</v>
      </c>
      <c r="W46" s="773">
        <f t="shared" si="14"/>
        <v>100</v>
      </c>
      <c r="X46" s="1807"/>
      <c r="Y46" s="3410"/>
      <c r="Z46" s="1808">
        <f t="shared" si="15"/>
        <v>111</v>
      </c>
      <c r="AA46" s="1805">
        <f t="shared" si="3"/>
        <v>1</v>
      </c>
      <c r="AB46" s="1805">
        <f t="shared" si="4"/>
        <v>1</v>
      </c>
      <c r="AC46" s="1805">
        <f t="shared" si="5"/>
        <v>1</v>
      </c>
    </row>
    <row r="47" spans="1:29" ht="14.4">
      <c r="A47" s="477" t="s">
        <v>2559</v>
      </c>
      <c r="B47" s="478"/>
      <c r="C47" s="1403" t="s">
        <v>1</v>
      </c>
      <c r="D47" s="1404"/>
      <c r="E47" s="1405"/>
      <c r="F47" s="1406"/>
      <c r="G47" s="1407"/>
      <c r="H47" s="1408"/>
      <c r="I47" s="1405"/>
      <c r="J47" s="1408"/>
      <c r="K47" s="781"/>
      <c r="L47" s="1139"/>
      <c r="M47" s="1140"/>
      <c r="N47" s="1127"/>
      <c r="O47" s="1140"/>
      <c r="P47" s="3342" t="str">
        <f>A47</f>
        <v>成交单价（元/平方米）</v>
      </c>
      <c r="Q47" s="3342"/>
      <c r="R47" s="3348">
        <f>E47</f>
        <v>0</v>
      </c>
      <c r="S47" s="3348"/>
      <c r="T47" s="3348">
        <f>G47</f>
        <v>0</v>
      </c>
      <c r="U47" s="3348"/>
      <c r="V47" s="3348">
        <f>I47</f>
        <v>0</v>
      </c>
      <c r="W47" s="3348"/>
      <c r="X47" s="757"/>
      <c r="Y47" s="779"/>
      <c r="Z47" s="757"/>
      <c r="AA47" s="757"/>
      <c r="AB47" s="757"/>
      <c r="AC47" s="757"/>
    </row>
    <row r="48" spans="1:29" ht="1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42" t="str">
        <f>A48</f>
        <v>比较价值（元/平方米）</v>
      </c>
      <c r="Q48" s="334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757"/>
      <c r="Y48" s="757"/>
      <c r="Z48" s="757"/>
      <c r="AA48" s="757"/>
      <c r="AB48" s="757"/>
      <c r="AC48" s="757"/>
    </row>
    <row r="49" spans="1:29" ht="15" thickBot="1">
      <c r="A49" s="490" t="s">
        <v>2652</v>
      </c>
      <c r="B49" s="491"/>
      <c r="C49" s="1413" t="e">
        <f>R49</f>
        <v>#DIV/0!</v>
      </c>
      <c r="D49" s="1413"/>
      <c r="E49" s="1413"/>
      <c r="F49" s="1413"/>
      <c r="G49" s="1413"/>
      <c r="H49" s="1413"/>
      <c r="I49" s="1413"/>
      <c r="J49" s="1413"/>
      <c r="K49" s="783"/>
      <c r="L49" s="1139"/>
      <c r="M49" s="1140"/>
      <c r="N49" s="1127"/>
      <c r="O49" s="1140"/>
      <c r="P49" s="3336" t="str">
        <f>A49</f>
        <v>估价对象XX用房的比较价值（楼面单价，元/平方米）</v>
      </c>
      <c r="Q49" s="3337"/>
      <c r="R49" s="3384" t="e">
        <f>IF(F1="售价",ROUND(AVERAGE(R48:V48),0),ROUND(AVERAGE(R48:V48),1))</f>
        <v>#DIV/0!</v>
      </c>
      <c r="S49" s="3384"/>
      <c r="T49" s="3384"/>
      <c r="U49" s="3384"/>
      <c r="V49" s="3384"/>
      <c r="W49" s="3384"/>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2.2"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4.4">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c r="A59" s="507"/>
      <c r="B59" s="508"/>
      <c r="C59" s="1567">
        <v>100</v>
      </c>
      <c r="D59" s="510"/>
      <c r="E59" s="510"/>
      <c r="F59" s="510"/>
      <c r="G59" s="510"/>
      <c r="H59" s="510"/>
      <c r="I59" s="510"/>
      <c r="J59" s="510"/>
      <c r="K59" s="510"/>
      <c r="L59" s="510"/>
      <c r="M59" s="511"/>
      <c r="N59" s="510"/>
      <c r="O59" s="511"/>
      <c r="P59" s="2612"/>
    </row>
    <row r="60" spans="1:29" s="115" customFormat="1" ht="15" thickBot="1">
      <c r="A60" s="513" t="s">
        <v>2567</v>
      </c>
      <c r="B60" s="514"/>
      <c r="C60" s="515"/>
      <c r="D60" s="516"/>
      <c r="E60" s="516"/>
      <c r="F60" s="516"/>
      <c r="G60" s="516"/>
      <c r="H60" s="516"/>
      <c r="I60" s="516"/>
      <c r="J60" s="516"/>
      <c r="K60" s="516"/>
      <c r="L60" s="516"/>
      <c r="M60" s="517"/>
      <c r="N60" s="516"/>
      <c r="O60" s="517"/>
      <c r="P60" s="2612"/>
      <c r="Q60" s="502"/>
    </row>
    <row r="61" spans="1:29" s="115" customFormat="1" ht="14.4">
      <c r="A61" s="519" t="s">
        <v>2532</v>
      </c>
      <c r="B61" s="508"/>
      <c r="C61" s="520" t="s">
        <v>2634</v>
      </c>
      <c r="D61" s="521"/>
      <c r="E61" s="521"/>
      <c r="F61" s="521"/>
      <c r="G61" s="521"/>
      <c r="H61" s="521"/>
      <c r="I61" s="521"/>
      <c r="J61" s="521"/>
      <c r="K61" s="521"/>
      <c r="L61" s="522"/>
      <c r="M61" s="523"/>
      <c r="N61" s="1147"/>
      <c r="O61" s="1147"/>
      <c r="P61" s="2613"/>
      <c r="Q61" s="502"/>
    </row>
    <row r="62" spans="1:29" s="115" customFormat="1" ht="14.4" thickBot="1">
      <c r="A62" s="519"/>
      <c r="B62" s="508"/>
      <c r="C62" s="509">
        <v>100</v>
      </c>
      <c r="D62" s="510"/>
      <c r="E62" s="510"/>
      <c r="F62" s="510"/>
      <c r="G62" s="510"/>
      <c r="H62" s="510"/>
      <c r="I62" s="510"/>
      <c r="J62" s="510"/>
      <c r="K62" s="510"/>
      <c r="L62" s="510"/>
      <c r="M62" s="512"/>
      <c r="N62" s="1147"/>
      <c r="O62" s="1147"/>
      <c r="P62" s="2612"/>
      <c r="Q62" s="502"/>
    </row>
    <row r="63" spans="1:29" ht="14.4">
      <c r="A63" s="525" t="s">
        <v>2570</v>
      </c>
      <c r="B63" s="526" t="s">
        <v>2536</v>
      </c>
      <c r="C63" s="527">
        <f>C9</f>
        <v>0</v>
      </c>
      <c r="D63" s="528"/>
      <c r="E63" s="528"/>
      <c r="F63" s="528"/>
      <c r="G63" s="528"/>
      <c r="H63" s="528"/>
      <c r="I63" s="528"/>
      <c r="J63" s="528"/>
      <c r="K63" s="529"/>
      <c r="L63" s="530"/>
      <c r="M63" s="531"/>
      <c r="N63" s="1148"/>
      <c r="O63" s="1148"/>
      <c r="P63" s="2614"/>
      <c r="Q63" s="502"/>
    </row>
    <row r="64" spans="1:29" ht="14.4" thickBot="1">
      <c r="A64" s="532"/>
      <c r="B64" s="533"/>
      <c r="C64" s="534">
        <v>100</v>
      </c>
      <c r="D64" s="534"/>
      <c r="E64" s="534"/>
      <c r="F64" s="534"/>
      <c r="G64" s="534"/>
      <c r="H64" s="534"/>
      <c r="I64" s="534"/>
      <c r="J64" s="534"/>
      <c r="K64" s="534"/>
      <c r="L64" s="534"/>
      <c r="M64" s="535"/>
      <c r="N64" s="1149"/>
      <c r="O64" s="1149"/>
      <c r="P64" s="2614"/>
      <c r="Q64" s="502"/>
    </row>
    <row r="65" spans="1:17" ht="29.4"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c r="A68" s="532"/>
      <c r="B68" s="546"/>
      <c r="C68" s="547"/>
      <c r="D68" s="547"/>
      <c r="E68" s="547"/>
      <c r="F68" s="547"/>
      <c r="G68" s="547"/>
      <c r="H68" s="547"/>
      <c r="I68" s="547"/>
      <c r="J68" s="547"/>
      <c r="K68" s="548"/>
      <c r="L68" s="549"/>
      <c r="M68" s="550"/>
      <c r="N68" s="1148"/>
      <c r="O68" s="1148"/>
      <c r="P68" s="2614"/>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4.4" thickTop="1">
      <c r="A70" s="551"/>
      <c r="B70" s="536">
        <f>B12</f>
        <v>111</v>
      </c>
      <c r="C70" s="552"/>
      <c r="D70" s="552"/>
      <c r="E70" s="552"/>
      <c r="F70" s="552"/>
      <c r="G70" s="552"/>
      <c r="H70" s="553"/>
      <c r="I70" s="553"/>
      <c r="J70" s="553"/>
      <c r="K70" s="553"/>
      <c r="L70" s="554"/>
      <c r="M70" s="555"/>
      <c r="N70" s="1150"/>
      <c r="O70" s="1150"/>
      <c r="P70" s="2615"/>
      <c r="Q70" s="557"/>
    </row>
    <row r="71" spans="1:17" s="469" customFormat="1" ht="14.4" thickBot="1">
      <c r="A71" s="551"/>
      <c r="B71" s="541"/>
      <c r="C71" s="558"/>
      <c r="D71" s="534"/>
      <c r="E71" s="534"/>
      <c r="F71" s="534"/>
      <c r="G71" s="534"/>
      <c r="H71" s="534"/>
      <c r="I71" s="534"/>
      <c r="J71" s="534"/>
      <c r="K71" s="534"/>
      <c r="L71" s="534"/>
      <c r="M71" s="535"/>
      <c r="N71" s="1149"/>
      <c r="O71" s="1149"/>
      <c r="P71" s="2615"/>
      <c r="Q71" s="557"/>
    </row>
    <row r="72" spans="1:17" s="469" customFormat="1" ht="14.4" thickTop="1">
      <c r="A72" s="551"/>
      <c r="B72" s="536">
        <f>B13</f>
        <v>111</v>
      </c>
      <c r="C72" s="552"/>
      <c r="D72" s="552"/>
      <c r="E72" s="552"/>
      <c r="F72" s="552"/>
      <c r="G72" s="552"/>
      <c r="H72" s="553"/>
      <c r="I72" s="553"/>
      <c r="J72" s="553"/>
      <c r="K72" s="553"/>
      <c r="L72" s="554"/>
      <c r="M72" s="555"/>
      <c r="N72" s="1150"/>
      <c r="O72" s="1150"/>
      <c r="P72" s="2616"/>
      <c r="Q72" s="559"/>
    </row>
    <row r="73" spans="1:17" s="469" customFormat="1" ht="14.4" thickBot="1">
      <c r="A73" s="551"/>
      <c r="B73" s="541"/>
      <c r="C73" s="558"/>
      <c r="D73" s="534"/>
      <c r="E73" s="534"/>
      <c r="F73" s="534"/>
      <c r="G73" s="558"/>
      <c r="H73" s="560"/>
      <c r="I73" s="560"/>
      <c r="J73" s="560"/>
      <c r="K73" s="560"/>
      <c r="L73" s="560"/>
      <c r="M73" s="561"/>
      <c r="N73" s="1150"/>
      <c r="O73" s="1150"/>
      <c r="P73" s="2615"/>
      <c r="Q73" s="557"/>
    </row>
    <row r="74" spans="1:17" s="469" customFormat="1" ht="14.4" thickTop="1">
      <c r="A74" s="551"/>
      <c r="B74" s="544">
        <f>B14</f>
        <v>111</v>
      </c>
      <c r="C74" s="552"/>
      <c r="D74" s="552"/>
      <c r="E74" s="552"/>
      <c r="F74" s="552"/>
      <c r="G74" s="521"/>
      <c r="H74" s="562"/>
      <c r="I74" s="562"/>
      <c r="J74" s="562"/>
      <c r="K74" s="562"/>
      <c r="L74" s="563"/>
      <c r="M74" s="564"/>
      <c r="N74" s="1150"/>
      <c r="O74" s="1150"/>
      <c r="P74" s="2617"/>
      <c r="Q74" s="557"/>
    </row>
    <row r="75" spans="1:17" s="469" customFormat="1" ht="14.4" thickBot="1">
      <c r="A75" s="566"/>
      <c r="B75" s="567"/>
      <c r="C75" s="568"/>
      <c r="D75" s="568"/>
      <c r="E75" s="568"/>
      <c r="F75" s="568"/>
      <c r="G75" s="568"/>
      <c r="H75" s="569"/>
      <c r="I75" s="569"/>
      <c r="J75" s="569"/>
      <c r="K75" s="569"/>
      <c r="L75" s="569"/>
      <c r="M75" s="570"/>
      <c r="N75" s="1150"/>
      <c r="O75" s="1150"/>
      <c r="P75" s="2615"/>
      <c r="Q75" s="557"/>
    </row>
    <row r="76" spans="1:17" ht="14.4">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 thickTop="1">
      <c r="A86" s="577"/>
      <c r="B86" s="536" t="s">
        <v>2662</v>
      </c>
      <c r="C86" s="552"/>
      <c r="D86" s="552"/>
      <c r="E86" s="552"/>
      <c r="F86" s="552"/>
      <c r="G86" s="552"/>
      <c r="H86" s="552"/>
      <c r="I86" s="552"/>
      <c r="J86" s="552"/>
      <c r="K86" s="552"/>
      <c r="L86" s="578"/>
      <c r="M86" s="579"/>
      <c r="N86" s="1147"/>
      <c r="O86" s="1147"/>
      <c r="P86" s="2614"/>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4.4"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4.4" thickBot="1">
      <c r="A89" s="577"/>
      <c r="B89" s="541"/>
      <c r="C89" s="558"/>
      <c r="D89" s="534"/>
      <c r="E89" s="534"/>
      <c r="F89" s="534"/>
      <c r="G89" s="534"/>
      <c r="H89" s="534"/>
      <c r="I89" s="534"/>
      <c r="J89" s="534"/>
      <c r="K89" s="534"/>
      <c r="L89" s="534"/>
      <c r="M89" s="534"/>
      <c r="N89" s="1149"/>
      <c r="O89" s="1149"/>
      <c r="P89" s="2614"/>
      <c r="Q89" s="502"/>
    </row>
    <row r="90" spans="1:17" s="469" customFormat="1" ht="14.4"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4.4" thickTop="1">
      <c r="A92" s="532"/>
      <c r="B92" s="536" t="str">
        <f>B28</f>
        <v>楼层</v>
      </c>
      <c r="C92" s="552"/>
      <c r="D92" s="552"/>
      <c r="E92" s="552"/>
      <c r="F92" s="552"/>
      <c r="G92" s="552"/>
      <c r="H92" s="552"/>
      <c r="I92" s="552"/>
      <c r="J92" s="552"/>
      <c r="K92" s="552"/>
      <c r="L92" s="578"/>
      <c r="M92" s="579"/>
      <c r="N92" s="1148"/>
      <c r="O92" s="1148"/>
      <c r="P92" s="2614"/>
      <c r="Q92" s="502"/>
    </row>
    <row r="93" spans="1:17" ht="14.4" thickBot="1">
      <c r="A93" s="532"/>
      <c r="B93" s="541"/>
      <c r="C93" s="534"/>
      <c r="D93" s="534"/>
      <c r="E93" s="534"/>
      <c r="F93" s="534"/>
      <c r="G93" s="534"/>
      <c r="H93" s="534"/>
      <c r="I93" s="534"/>
      <c r="J93" s="534"/>
      <c r="K93" s="534"/>
      <c r="L93" s="534"/>
      <c r="M93" s="535"/>
      <c r="N93" s="1149"/>
      <c r="O93" s="1149"/>
      <c r="P93" s="2614"/>
      <c r="Q93" s="502"/>
    </row>
    <row r="94" spans="1:17" ht="14.4" thickTop="1">
      <c r="A94" s="532"/>
      <c r="B94" s="536">
        <f>B29</f>
        <v>111</v>
      </c>
      <c r="C94" s="552"/>
      <c r="D94" s="552"/>
      <c r="E94" s="552"/>
      <c r="F94" s="552"/>
      <c r="G94" s="581"/>
      <c r="H94" s="581"/>
      <c r="I94" s="581"/>
      <c r="J94" s="581"/>
      <c r="K94" s="582"/>
      <c r="L94" s="583"/>
      <c r="M94" s="584"/>
      <c r="N94" s="1148"/>
      <c r="O94" s="1148"/>
      <c r="P94" s="2614"/>
      <c r="Q94" s="502"/>
    </row>
    <row r="95" spans="1:17" ht="14.4" thickBot="1">
      <c r="A95" s="532"/>
      <c r="B95" s="541"/>
      <c r="C95" s="558"/>
      <c r="D95" s="534"/>
      <c r="E95" s="534"/>
      <c r="F95" s="534"/>
      <c r="G95" s="534"/>
      <c r="H95" s="534"/>
      <c r="I95" s="534"/>
      <c r="J95" s="534"/>
      <c r="K95" s="534"/>
      <c r="L95" s="534"/>
      <c r="M95" s="535"/>
      <c r="N95" s="1149"/>
      <c r="O95" s="1149"/>
      <c r="P95" s="2614"/>
      <c r="Q95" s="502"/>
    </row>
    <row r="96" spans="1:17" ht="14.4" thickTop="1">
      <c r="A96" s="532"/>
      <c r="B96" s="536">
        <f>B30</f>
        <v>111</v>
      </c>
      <c r="C96" s="552"/>
      <c r="D96" s="552"/>
      <c r="E96" s="552"/>
      <c r="F96" s="552"/>
      <c r="G96" s="581"/>
      <c r="H96" s="581"/>
      <c r="I96" s="581"/>
      <c r="J96" s="581"/>
      <c r="K96" s="582"/>
      <c r="L96" s="583"/>
      <c r="M96" s="584"/>
      <c r="N96" s="1148"/>
      <c r="O96" s="1148"/>
      <c r="P96" s="2614"/>
      <c r="Q96" s="502"/>
    </row>
    <row r="97" spans="1:17" ht="14.4" thickBot="1">
      <c r="A97" s="532"/>
      <c r="B97" s="541"/>
      <c r="C97" s="558"/>
      <c r="D97" s="534"/>
      <c r="E97" s="534"/>
      <c r="F97" s="534"/>
      <c r="G97" s="534"/>
      <c r="H97" s="534"/>
      <c r="I97" s="534"/>
      <c r="J97" s="534"/>
      <c r="K97" s="534"/>
      <c r="L97" s="534"/>
      <c r="M97" s="535"/>
      <c r="N97" s="1149"/>
      <c r="O97" s="1149"/>
      <c r="P97" s="2614"/>
      <c r="Q97" s="502"/>
    </row>
    <row r="98" spans="1:17" ht="14.4" thickTop="1">
      <c r="A98" s="532"/>
      <c r="B98" s="544">
        <f>B31</f>
        <v>111</v>
      </c>
      <c r="C98" s="552"/>
      <c r="D98" s="552"/>
      <c r="E98" s="552"/>
      <c r="F98" s="552"/>
      <c r="G98" s="585"/>
      <c r="H98" s="585"/>
      <c r="I98" s="585"/>
      <c r="J98" s="585"/>
      <c r="K98" s="586"/>
      <c r="L98" s="587"/>
      <c r="M98" s="588"/>
      <c r="N98" s="1148"/>
      <c r="O98" s="1148"/>
      <c r="P98" s="2614"/>
      <c r="Q98" s="502"/>
    </row>
    <row r="99" spans="1:17" ht="14.4" thickBot="1">
      <c r="A99" s="2620"/>
      <c r="B99" s="567"/>
      <c r="C99" s="568"/>
      <c r="D99" s="568"/>
      <c r="E99" s="568"/>
      <c r="F99" s="568"/>
      <c r="G99" s="589"/>
      <c r="H99" s="589"/>
      <c r="I99" s="589"/>
      <c r="J99" s="589"/>
      <c r="K99" s="589"/>
      <c r="L99" s="589"/>
      <c r="M99" s="590"/>
      <c r="N99" s="1149"/>
      <c r="O99" s="1149"/>
      <c r="P99" s="2614"/>
      <c r="Q99" s="502"/>
    </row>
    <row r="100" spans="1:17" ht="14.4">
      <c r="A100" s="525" t="s">
        <v>2545</v>
      </c>
      <c r="B100" s="526" t="s">
        <v>2663</v>
      </c>
      <c r="C100" s="528"/>
      <c r="D100" s="528"/>
      <c r="E100" s="528"/>
      <c r="F100" s="528"/>
      <c r="G100" s="528"/>
      <c r="H100" s="528"/>
      <c r="I100" s="528"/>
      <c r="J100" s="528"/>
      <c r="K100" s="529"/>
      <c r="L100" s="530"/>
      <c r="M100" s="531"/>
      <c r="N100" s="1148"/>
      <c r="O100" s="1148"/>
      <c r="P100" s="2614"/>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4.4"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4.4"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29.4"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4.4"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4.4" thickBot="1">
      <c r="A127" s="551"/>
      <c r="B127" s="541"/>
      <c r="C127" s="558"/>
      <c r="D127" s="534"/>
      <c r="E127" s="534"/>
      <c r="F127" s="534"/>
      <c r="G127" s="558"/>
      <c r="H127" s="560"/>
      <c r="I127" s="560"/>
      <c r="J127" s="560"/>
      <c r="K127" s="560"/>
      <c r="L127" s="560"/>
      <c r="M127" s="561"/>
      <c r="N127" s="1150"/>
      <c r="O127" s="1150"/>
      <c r="P127" s="2615"/>
      <c r="Q127" s="557"/>
    </row>
    <row r="128" spans="1:17" ht="14.4" thickTop="1">
      <c r="A128" s="597"/>
      <c r="B128" s="536">
        <f>B45</f>
        <v>111</v>
      </c>
      <c r="C128" s="552"/>
      <c r="D128" s="552"/>
      <c r="E128" s="552"/>
      <c r="F128" s="552"/>
      <c r="G128" s="581"/>
      <c r="H128" s="581"/>
      <c r="I128" s="581"/>
      <c r="J128" s="581"/>
      <c r="K128" s="582"/>
      <c r="L128" s="583"/>
      <c r="M128" s="584"/>
      <c r="N128" s="1148"/>
      <c r="O128" s="1148"/>
      <c r="P128" s="2614"/>
      <c r="Q128" s="502"/>
    </row>
    <row r="129" spans="1:17" ht="14.4" thickBot="1">
      <c r="A129" s="532"/>
      <c r="B129" s="541"/>
      <c r="C129" s="558"/>
      <c r="D129" s="534"/>
      <c r="E129" s="534"/>
      <c r="F129" s="534"/>
      <c r="G129" s="534"/>
      <c r="H129" s="534"/>
      <c r="I129" s="534"/>
      <c r="J129" s="534"/>
      <c r="K129" s="534"/>
      <c r="L129" s="534"/>
      <c r="M129" s="535"/>
      <c r="N129" s="1149"/>
      <c r="O129" s="1149"/>
      <c r="P129" s="2614"/>
      <c r="Q129" s="502"/>
    </row>
    <row r="130" spans="1:17" ht="14.4" thickTop="1">
      <c r="A130" s="597"/>
      <c r="B130" s="544">
        <f>B46</f>
        <v>111</v>
      </c>
      <c r="C130" s="552"/>
      <c r="D130" s="552"/>
      <c r="E130" s="552"/>
      <c r="F130" s="552"/>
      <c r="G130" s="585"/>
      <c r="H130" s="585"/>
      <c r="I130" s="585"/>
      <c r="J130" s="585"/>
      <c r="K130" s="521"/>
      <c r="L130" s="522"/>
      <c r="M130" s="588"/>
      <c r="N130" s="1148"/>
      <c r="O130" s="1148"/>
      <c r="P130" s="2614"/>
      <c r="Q130" s="502"/>
    </row>
    <row r="131" spans="1:17" ht="14.4"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3" customWidth="1"/>
    <col min="2" max="2" width="37.21875" style="1953" customWidth="1"/>
    <col min="3" max="3" width="11.33203125" style="1953" customWidth="1"/>
    <col min="4" max="4" width="31.77734375" style="1953" customWidth="1"/>
    <col min="5" max="5" width="0.44140625" style="1953" customWidth="1"/>
    <col min="6" max="7" width="13" style="1953" customWidth="1"/>
    <col min="8" max="16384" width="9" style="1953"/>
  </cols>
  <sheetData>
    <row r="1" spans="1:5" ht="17.399999999999999">
      <c r="A1" s="1951" t="s">
        <v>1615</v>
      </c>
      <c r="B1" s="1952"/>
      <c r="C1" s="1952"/>
      <c r="D1" s="1952"/>
      <c r="E1" s="1952"/>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7.399999999999999">
      <c r="A3" s="3132" t="str">
        <f>IF(项目基本情况!B9="房地产市场价值","估价结果一览表（市场价值不需“结果表-1”）","估价结果一览表")</f>
        <v>估价结果一览表</v>
      </c>
      <c r="B3" s="3132"/>
      <c r="C3" s="3132"/>
      <c r="D3" s="3132"/>
      <c r="E3" s="3132"/>
    </row>
    <row r="4" spans="1:5" ht="18" thickBot="1">
      <c r="A4" s="1954"/>
      <c r="B4" s="3130" t="s">
        <v>1624</v>
      </c>
      <c r="C4" s="3130"/>
      <c r="D4" s="3130"/>
      <c r="E4" s="1954"/>
    </row>
    <row r="5" spans="1:5" ht="16.2" thickTop="1">
      <c r="A5" s="1952"/>
      <c r="B5" s="3128" t="s">
        <v>1616</v>
      </c>
      <c r="C5" s="1955" t="s">
        <v>1617</v>
      </c>
      <c r="D5" s="1037">
        <f ca="1">结果表!H101</f>
        <v>392611</v>
      </c>
      <c r="E5" s="1952"/>
    </row>
    <row r="6" spans="1:5" ht="15.6">
      <c r="A6" s="1952"/>
      <c r="B6" s="3128"/>
      <c r="C6" s="1955" t="s">
        <v>1618</v>
      </c>
      <c r="D6" s="1037" t="str">
        <f ca="1">NUMBERSTRING(INT(D5*10000),2)&amp;"元整"</f>
        <v>叁拾玖亿贰仟陆佰壹拾壹万元整</v>
      </c>
      <c r="E6" s="1952"/>
    </row>
    <row r="7" spans="1:5" ht="15.6">
      <c r="A7" s="1952"/>
      <c r="B7" s="3133"/>
      <c r="C7" s="1956" t="s">
        <v>1619</v>
      </c>
      <c r="D7" s="1038">
        <f ca="1">结果表!H102</f>
        <v>26306</v>
      </c>
      <c r="E7" s="1952"/>
    </row>
    <row r="8" spans="1:5" ht="15.6">
      <c r="A8" s="1952"/>
      <c r="B8" s="3134" t="str">
        <f>结果表!E103</f>
        <v>2.估价师知悉的法定优先受偿款</v>
      </c>
      <c r="C8" s="1957" t="s">
        <v>1620</v>
      </c>
      <c r="D8" s="1038">
        <f>结果表!H103</f>
        <v>0</v>
      </c>
      <c r="E8" s="1952"/>
    </row>
    <row r="9" spans="1:5" ht="15.6">
      <c r="A9" s="1952"/>
      <c r="B9" s="3136"/>
      <c r="C9" s="1955" t="s">
        <v>1618</v>
      </c>
      <c r="D9" s="1037" t="str">
        <f>NUMBERSTRING(INT(D8*10000),2)&amp;"元整"</f>
        <v>零元整</v>
      </c>
      <c r="E9" s="1952"/>
    </row>
    <row r="10" spans="1:5" ht="15.6">
      <c r="A10" s="1952"/>
      <c r="B10" s="1958" t="s">
        <v>1623</v>
      </c>
      <c r="C10" s="1959" t="s">
        <v>1621</v>
      </c>
      <c r="D10" s="1039">
        <f>结果表!H104</f>
        <v>0</v>
      </c>
      <c r="E10" s="1952"/>
    </row>
    <row r="11" spans="1:5" ht="15.6">
      <c r="A11" s="1952"/>
      <c r="B11" s="1958" t="s">
        <v>1625</v>
      </c>
      <c r="C11" s="1959" t="s">
        <v>1626</v>
      </c>
      <c r="D11" s="1039">
        <f>结果表!H105</f>
        <v>0</v>
      </c>
      <c r="E11" s="1952"/>
    </row>
    <row r="12" spans="1:5" ht="15.6">
      <c r="A12" s="1952"/>
      <c r="B12" s="1958" t="s">
        <v>1627</v>
      </c>
      <c r="C12" s="1959" t="s">
        <v>1626</v>
      </c>
      <c r="D12" s="1039">
        <f>结果表!H106</f>
        <v>0</v>
      </c>
      <c r="E12" s="1952"/>
    </row>
    <row r="13" spans="1:5" ht="15.6">
      <c r="A13" s="1952"/>
      <c r="B13" s="3127" t="str">
        <f>结果表!E107</f>
        <v>——</v>
      </c>
      <c r="C13" s="1960" t="s">
        <v>1617</v>
      </c>
      <c r="D13" s="1040" t="str">
        <f>结果表!H107</f>
        <v>——</v>
      </c>
      <c r="E13" s="1952"/>
    </row>
    <row r="14" spans="1:5" ht="15.6">
      <c r="A14" s="1952"/>
      <c r="B14" s="3128"/>
      <c r="C14" s="1955" t="s">
        <v>1618</v>
      </c>
      <c r="D14" s="1037" t="e">
        <f>NUMBERSTRING(INT(D13*10000),2)&amp;"元整"</f>
        <v>#VALUE!</v>
      </c>
      <c r="E14" s="1952"/>
    </row>
    <row r="15" spans="1:5" ht="15.6">
      <c r="A15" s="1952"/>
      <c r="B15" s="3133"/>
      <c r="C15" s="1956" t="s">
        <v>1628</v>
      </c>
      <c r="D15" s="1049" t="e">
        <f>结果表!H108</f>
        <v>#VALUE!</v>
      </c>
      <c r="E15" s="1952"/>
    </row>
    <row r="16" spans="1:5" ht="15.6">
      <c r="A16" s="1952"/>
      <c r="B16" s="3134" t="str">
        <f>结果表!E109</f>
        <v>3.抵押担保权已注销时的房地产抵押价值</v>
      </c>
      <c r="C16" s="1960" t="s">
        <v>1629</v>
      </c>
      <c r="D16" s="1961">
        <f ca="1">结果表!H109</f>
        <v>392611</v>
      </c>
      <c r="E16" s="1952"/>
    </row>
    <row r="17" spans="1:5" ht="15.6">
      <c r="A17" s="1952"/>
      <c r="B17" s="3135"/>
      <c r="C17" s="1955" t="s">
        <v>1630</v>
      </c>
      <c r="D17" s="1037" t="str">
        <f ca="1">NUMBERSTRING(INT(D16*10000),2)&amp;"元整"</f>
        <v>叁拾玖亿贰仟陆佰壹拾壹万元整</v>
      </c>
      <c r="E17" s="1952"/>
    </row>
    <row r="18" spans="1:5" ht="15.6">
      <c r="A18" s="1952"/>
      <c r="B18" s="3136"/>
      <c r="C18" s="1956" t="s">
        <v>1619</v>
      </c>
      <c r="D18" s="1049">
        <f ca="1">结果表!H110</f>
        <v>26306</v>
      </c>
      <c r="E18" s="1952"/>
    </row>
    <row r="19" spans="1:5" ht="15.6">
      <c r="A19" s="1952"/>
      <c r="B19" s="3127" t="str">
        <f>结果表!E111</f>
        <v>——</v>
      </c>
      <c r="C19" s="1960" t="s">
        <v>1617</v>
      </c>
      <c r="D19" s="1038" t="str">
        <f>结果表!H111</f>
        <v>——</v>
      </c>
      <c r="E19" s="1952"/>
    </row>
    <row r="20" spans="1:5" ht="15.6">
      <c r="A20" s="1952"/>
      <c r="B20" s="3128"/>
      <c r="C20" s="1955" t="s">
        <v>1630</v>
      </c>
      <c r="D20" s="1037" t="e">
        <f>NUMBERSTRING(INT(D19*10000),2)&amp;"元整"</f>
        <v>#VALUE!</v>
      </c>
      <c r="E20" s="1952"/>
    </row>
    <row r="21" spans="1:5" ht="16.2" thickBot="1">
      <c r="A21" s="1952"/>
      <c r="B21" s="3129"/>
      <c r="C21" s="1962" t="s">
        <v>1628</v>
      </c>
      <c r="D21" s="1050" t="str">
        <f>结果表!H112</f>
        <v>——</v>
      </c>
      <c r="E21" s="1952"/>
    </row>
    <row r="22" spans="1:5" ht="14.4" thickTop="1">
      <c r="A22" s="1952"/>
      <c r="B22" s="1963" t="s">
        <v>1631</v>
      </c>
      <c r="C22" s="1952"/>
      <c r="D22" s="1952"/>
      <c r="E22" s="1952"/>
    </row>
    <row r="23" spans="1:5">
      <c r="A23" s="1952"/>
      <c r="B23" s="1952"/>
      <c r="C23" s="1952"/>
      <c r="D23" s="1952"/>
      <c r="E23" s="1952"/>
    </row>
    <row r="24" spans="1:5" ht="17.399999999999999">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4.4">
      <c r="A4" s="399" t="s">
        <v>2627</v>
      </c>
      <c r="B4" s="400"/>
      <c r="C4" s="3339" t="s">
        <v>2628</v>
      </c>
      <c r="D4" s="3352"/>
      <c r="E4" s="3353" t="s">
        <v>2629</v>
      </c>
      <c r="F4" s="3354"/>
      <c r="G4" s="3339" t="s">
        <v>2630</v>
      </c>
      <c r="H4" s="3352"/>
      <c r="I4" s="3339" t="s">
        <v>2631</v>
      </c>
      <c r="J4" s="3352"/>
      <c r="K4" s="608" t="s">
        <v>2632</v>
      </c>
      <c r="L4" s="1126"/>
      <c r="M4" s="1127"/>
      <c r="N4" s="1127"/>
      <c r="O4" s="1127"/>
      <c r="P4" s="3419" t="s">
        <v>2633</v>
      </c>
      <c r="Q4" s="3420"/>
      <c r="R4" s="3423" t="s">
        <v>2629</v>
      </c>
      <c r="S4" s="3424"/>
      <c r="T4" s="3423" t="s">
        <v>2630</v>
      </c>
      <c r="U4" s="3424"/>
      <c r="V4" s="3425" t="s">
        <v>2631</v>
      </c>
      <c r="W4" s="3425"/>
      <c r="X4" s="2654"/>
      <c r="Y4" s="3423" t="s">
        <v>2633</v>
      </c>
      <c r="Z4" s="3424"/>
      <c r="AA4" s="3427" t="s">
        <v>2629</v>
      </c>
      <c r="AB4" s="3427" t="s">
        <v>2630</v>
      </c>
      <c r="AC4" s="3416" t="s">
        <v>2631</v>
      </c>
    </row>
    <row r="5" spans="1:29">
      <c r="A5" s="402"/>
      <c r="B5" s="403"/>
      <c r="C5" s="3369" t="s">
        <v>2524</v>
      </c>
      <c r="D5" s="3370"/>
      <c r="E5" s="3376" t="s">
        <v>2525</v>
      </c>
      <c r="F5" s="3377"/>
      <c r="G5" s="3369" t="s">
        <v>2526</v>
      </c>
      <c r="H5" s="3370"/>
      <c r="I5" s="3369" t="s">
        <v>2527</v>
      </c>
      <c r="J5" s="3370"/>
      <c r="K5" s="608"/>
      <c r="L5" s="1126"/>
      <c r="M5" s="1127"/>
      <c r="N5" s="1127"/>
      <c r="O5" s="1127"/>
      <c r="P5" s="3421"/>
      <c r="Q5" s="3358"/>
      <c r="R5" s="3363"/>
      <c r="S5" s="3364"/>
      <c r="T5" s="3363"/>
      <c r="U5" s="3364"/>
      <c r="V5" s="3348"/>
      <c r="W5" s="3348"/>
      <c r="X5" s="1807"/>
      <c r="Y5" s="3363"/>
      <c r="Z5" s="3364"/>
      <c r="AA5" s="3350"/>
      <c r="AB5" s="3350"/>
      <c r="AC5" s="3417"/>
    </row>
    <row r="6" spans="1:29" ht="15" thickBot="1">
      <c r="A6" s="404"/>
      <c r="B6" s="405"/>
      <c r="C6" s="3367" t="s">
        <v>2528</v>
      </c>
      <c r="D6" s="3368"/>
      <c r="E6" s="3374" t="s">
        <v>2528</v>
      </c>
      <c r="F6" s="3375"/>
      <c r="G6" s="3367" t="s">
        <v>2528</v>
      </c>
      <c r="H6" s="3368"/>
      <c r="I6" s="3367" t="s">
        <v>2528</v>
      </c>
      <c r="J6" s="3368"/>
      <c r="K6" s="608" t="s">
        <v>2529</v>
      </c>
      <c r="L6" s="1126"/>
      <c r="M6" s="1127"/>
      <c r="N6" s="1127"/>
      <c r="O6" s="1127"/>
      <c r="P6" s="3422"/>
      <c r="Q6" s="3360"/>
      <c r="R6" s="3363"/>
      <c r="S6" s="3364"/>
      <c r="T6" s="3365"/>
      <c r="U6" s="3366"/>
      <c r="V6" s="3348"/>
      <c r="W6" s="3348"/>
      <c r="X6" s="1807"/>
      <c r="Y6" s="3365"/>
      <c r="Z6" s="3366"/>
      <c r="AA6" s="3351"/>
      <c r="AB6" s="3351"/>
      <c r="AC6" s="3418"/>
    </row>
    <row r="7" spans="1:29" s="115" customFormat="1" ht="1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426" t="s">
        <v>2531</v>
      </c>
      <c r="Q7" s="3373"/>
      <c r="R7" s="768" t="s">
        <v>17</v>
      </c>
      <c r="S7" s="769">
        <f t="shared" ref="S7:S15" si="0">F7</f>
        <v>0</v>
      </c>
      <c r="T7" s="768" t="s">
        <v>17</v>
      </c>
      <c r="U7" s="769">
        <f t="shared" ref="U7:U15" si="1">H7</f>
        <v>0</v>
      </c>
      <c r="V7" s="768" t="s">
        <v>17</v>
      </c>
      <c r="W7" s="769">
        <f t="shared" ref="W7:W15" si="2">J7</f>
        <v>0</v>
      </c>
      <c r="X7" s="770"/>
      <c r="Y7" s="3371" t="s">
        <v>2531</v>
      </c>
      <c r="Z7" s="3372"/>
      <c r="AA7" s="771" t="e">
        <f>D7/F7</f>
        <v>#DIV/0!</v>
      </c>
      <c r="AB7" s="771" t="e">
        <f>D7/H7</f>
        <v>#DIV/0!</v>
      </c>
      <c r="AC7" s="2655" t="e">
        <f>D7/J7</f>
        <v>#DIV/0!</v>
      </c>
    </row>
    <row r="8" spans="1:29" s="115" customFormat="1" ht="1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426" t="s">
        <v>2534</v>
      </c>
      <c r="Q8" s="3372"/>
      <c r="R8" s="768" t="s">
        <v>17</v>
      </c>
      <c r="S8" s="769">
        <f t="shared" si="0"/>
        <v>0</v>
      </c>
      <c r="T8" s="768" t="s">
        <v>17</v>
      </c>
      <c r="U8" s="769">
        <f t="shared" si="1"/>
        <v>0</v>
      </c>
      <c r="V8" s="768" t="s">
        <v>17</v>
      </c>
      <c r="W8" s="769">
        <f t="shared" si="2"/>
        <v>0</v>
      </c>
      <c r="X8" s="770"/>
      <c r="Y8" s="3371" t="s">
        <v>2534</v>
      </c>
      <c r="Z8" s="3372"/>
      <c r="AA8" s="771" t="e">
        <f t="shared" ref="AA8:AA47" si="3">D8/F8</f>
        <v>#DIV/0!</v>
      </c>
      <c r="AB8" s="771" t="e">
        <f t="shared" ref="AB8:AB47" si="4">D8/H8</f>
        <v>#DIV/0!</v>
      </c>
      <c r="AC8" s="2655" t="e">
        <f t="shared" ref="AC8:AC47" si="5">D8/J8</f>
        <v>#DIV/0!</v>
      </c>
    </row>
    <row r="9" spans="1:29" s="115" customFormat="1" ht="14.4">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41" t="s">
        <v>2537</v>
      </c>
      <c r="Q9" s="1789" t="str">
        <f t="shared" ref="Q9:Q15" si="6">B9</f>
        <v>用途</v>
      </c>
      <c r="R9" s="768" t="s">
        <v>17</v>
      </c>
      <c r="S9" s="769">
        <f t="shared" si="0"/>
        <v>100</v>
      </c>
      <c r="T9" s="768" t="s">
        <v>17</v>
      </c>
      <c r="U9" s="769">
        <f t="shared" si="1"/>
        <v>100</v>
      </c>
      <c r="V9" s="768" t="s">
        <v>17</v>
      </c>
      <c r="W9" s="769">
        <f t="shared" si="2"/>
        <v>100</v>
      </c>
      <c r="X9" s="770"/>
      <c r="Y9" s="3170" t="s">
        <v>2538</v>
      </c>
      <c r="Z9" s="55" t="str">
        <f t="shared" ref="Z9:Z15" si="7">Q9</f>
        <v>用途</v>
      </c>
      <c r="AA9" s="771">
        <f t="shared" si="3"/>
        <v>1</v>
      </c>
      <c r="AB9" s="771">
        <f t="shared" si="4"/>
        <v>1</v>
      </c>
      <c r="AC9" s="2655">
        <f t="shared" si="5"/>
        <v>1</v>
      </c>
    </row>
    <row r="10" spans="1:29" s="425" customFormat="1" ht="28.8">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41"/>
      <c r="Q10" s="1789" t="str">
        <f t="shared" si="6"/>
        <v>土地使用年限（年）</v>
      </c>
      <c r="R10" s="768" t="s">
        <v>17</v>
      </c>
      <c r="S10" s="769">
        <f t="shared" si="0"/>
        <v>100</v>
      </c>
      <c r="T10" s="768" t="s">
        <v>17</v>
      </c>
      <c r="U10" s="769">
        <f t="shared" si="1"/>
        <v>100</v>
      </c>
      <c r="V10" s="768" t="s">
        <v>17</v>
      </c>
      <c r="W10" s="769">
        <f t="shared" si="2"/>
        <v>100</v>
      </c>
      <c r="X10" s="770"/>
      <c r="Y10" s="3170"/>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41"/>
      <c r="Q11" s="1789" t="str">
        <f t="shared" si="6"/>
        <v>容积率</v>
      </c>
      <c r="R11" s="768" t="s">
        <v>17</v>
      </c>
      <c r="S11" s="769" t="e">
        <f t="shared" si="0"/>
        <v>#N/A</v>
      </c>
      <c r="T11" s="768" t="s">
        <v>17</v>
      </c>
      <c r="U11" s="769" t="e">
        <f t="shared" si="1"/>
        <v>#N/A</v>
      </c>
      <c r="V11" s="768" t="s">
        <v>17</v>
      </c>
      <c r="W11" s="769" t="e">
        <f t="shared" si="2"/>
        <v>#N/A</v>
      </c>
      <c r="X11" s="770"/>
      <c r="Y11" s="3170"/>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41"/>
      <c r="Q12" s="1789">
        <f t="shared" si="6"/>
        <v>111</v>
      </c>
      <c r="R12" s="768" t="s">
        <v>17</v>
      </c>
      <c r="S12" s="769">
        <f t="shared" si="0"/>
        <v>100</v>
      </c>
      <c r="T12" s="768" t="s">
        <v>17</v>
      </c>
      <c r="U12" s="769">
        <f t="shared" si="1"/>
        <v>100</v>
      </c>
      <c r="V12" s="768" t="s">
        <v>17</v>
      </c>
      <c r="W12" s="769">
        <f t="shared" si="2"/>
        <v>100</v>
      </c>
      <c r="X12" s="770"/>
      <c r="Y12" s="3170"/>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41"/>
      <c r="Q13" s="1789">
        <f t="shared" si="6"/>
        <v>111</v>
      </c>
      <c r="R13" s="768" t="s">
        <v>17</v>
      </c>
      <c r="S13" s="769">
        <f t="shared" si="0"/>
        <v>100</v>
      </c>
      <c r="T13" s="768" t="s">
        <v>17</v>
      </c>
      <c r="U13" s="769">
        <f t="shared" si="1"/>
        <v>100</v>
      </c>
      <c r="V13" s="768" t="s">
        <v>17</v>
      </c>
      <c r="W13" s="769">
        <f t="shared" si="2"/>
        <v>100</v>
      </c>
      <c r="X13" s="770"/>
      <c r="Y13" s="3170"/>
      <c r="Z13" s="55">
        <f t="shared" si="7"/>
        <v>111</v>
      </c>
      <c r="AA13" s="771">
        <f t="shared" si="3"/>
        <v>1</v>
      </c>
      <c r="AB13" s="771">
        <f t="shared" si="4"/>
        <v>1</v>
      </c>
      <c r="AC13" s="2655">
        <f t="shared" si="5"/>
        <v>1</v>
      </c>
    </row>
    <row r="14" spans="1:29" ht="15.6"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41"/>
      <c r="Q14" s="1789">
        <f t="shared" si="6"/>
        <v>111</v>
      </c>
      <c r="R14" s="768" t="s">
        <v>17</v>
      </c>
      <c r="S14" s="769">
        <f t="shared" si="0"/>
        <v>100</v>
      </c>
      <c r="T14" s="768" t="s">
        <v>17</v>
      </c>
      <c r="U14" s="769">
        <f t="shared" si="1"/>
        <v>100</v>
      </c>
      <c r="V14" s="768" t="s">
        <v>17</v>
      </c>
      <c r="W14" s="769">
        <f t="shared" si="2"/>
        <v>100</v>
      </c>
      <c r="X14" s="770"/>
      <c r="Y14" s="3170"/>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411" t="s">
        <v>2542</v>
      </c>
      <c r="Q15" s="1804" t="str">
        <f t="shared" si="6"/>
        <v>办公集聚程度</v>
      </c>
      <c r="R15" s="772" t="s">
        <v>17</v>
      </c>
      <c r="S15" s="773">
        <f t="shared" si="0"/>
        <v>100</v>
      </c>
      <c r="T15" s="772" t="s">
        <v>17</v>
      </c>
      <c r="U15" s="773">
        <f t="shared" si="1"/>
        <v>100</v>
      </c>
      <c r="V15" s="772" t="s">
        <v>17</v>
      </c>
      <c r="W15" s="773">
        <f t="shared" si="2"/>
        <v>100</v>
      </c>
      <c r="X15" s="1807"/>
      <c r="Y15" s="3344"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412"/>
      <c r="Q16" s="1804"/>
      <c r="R16" s="772"/>
      <c r="S16" s="773"/>
      <c r="T16" s="772"/>
      <c r="U16" s="773"/>
      <c r="V16" s="772"/>
      <c r="W16" s="773"/>
      <c r="X16" s="1807"/>
      <c r="Y16" s="3345"/>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412"/>
      <c r="Q17" s="1804" t="str">
        <f>B17</f>
        <v>交通便捷度</v>
      </c>
      <c r="R17" s="772" t="s">
        <v>17</v>
      </c>
      <c r="S17" s="773">
        <f>F17</f>
        <v>100</v>
      </c>
      <c r="T17" s="772" t="s">
        <v>17</v>
      </c>
      <c r="U17" s="773">
        <f>H17</f>
        <v>100</v>
      </c>
      <c r="V17" s="772" t="s">
        <v>17</v>
      </c>
      <c r="W17" s="773">
        <f>J17</f>
        <v>100</v>
      </c>
      <c r="X17" s="1807"/>
      <c r="Y17" s="3345"/>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412"/>
      <c r="Q18" s="1804"/>
      <c r="R18" s="772"/>
      <c r="S18" s="773"/>
      <c r="T18" s="772"/>
      <c r="U18" s="773"/>
      <c r="V18" s="772"/>
      <c r="W18" s="773"/>
      <c r="X18" s="1807"/>
      <c r="Y18" s="3345"/>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412"/>
      <c r="Q19" s="1804" t="str">
        <f>B19</f>
        <v>公共配套设施</v>
      </c>
      <c r="R19" s="772" t="s">
        <v>17</v>
      </c>
      <c r="S19" s="773">
        <f>F19</f>
        <v>100</v>
      </c>
      <c r="T19" s="772" t="s">
        <v>17</v>
      </c>
      <c r="U19" s="773">
        <f>H19</f>
        <v>100</v>
      </c>
      <c r="V19" s="772" t="s">
        <v>17</v>
      </c>
      <c r="W19" s="773">
        <f>J19</f>
        <v>100</v>
      </c>
      <c r="X19" s="1807"/>
      <c r="Y19" s="3345"/>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412"/>
      <c r="Q20" s="1804"/>
      <c r="R20" s="772"/>
      <c r="S20" s="773"/>
      <c r="T20" s="772"/>
      <c r="U20" s="773"/>
      <c r="V20" s="772"/>
      <c r="W20" s="773"/>
      <c r="X20" s="1807"/>
      <c r="Y20" s="3345"/>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412"/>
      <c r="Q21" s="1804" t="str">
        <f>B21</f>
        <v>基础设施水平</v>
      </c>
      <c r="R21" s="772" t="s">
        <v>17</v>
      </c>
      <c r="S21" s="773">
        <f>F21</f>
        <v>100</v>
      </c>
      <c r="T21" s="772" t="s">
        <v>17</v>
      </c>
      <c r="U21" s="773">
        <f>H21</f>
        <v>100</v>
      </c>
      <c r="V21" s="772" t="s">
        <v>17</v>
      </c>
      <c r="W21" s="773">
        <f>J21</f>
        <v>100</v>
      </c>
      <c r="X21" s="1807"/>
      <c r="Y21" s="3345"/>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412"/>
      <c r="Q22" s="1804"/>
      <c r="R22" s="772"/>
      <c r="S22" s="773"/>
      <c r="T22" s="772"/>
      <c r="U22" s="773"/>
      <c r="V22" s="772"/>
      <c r="W22" s="773"/>
      <c r="X22" s="1807"/>
      <c r="Y22" s="3345"/>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412"/>
      <c r="Q23" s="1804" t="str">
        <f>B23</f>
        <v>环境质量</v>
      </c>
      <c r="R23" s="772" t="s">
        <v>17</v>
      </c>
      <c r="S23" s="773">
        <f>F23</f>
        <v>100</v>
      </c>
      <c r="T23" s="772" t="s">
        <v>17</v>
      </c>
      <c r="U23" s="773">
        <f>H23</f>
        <v>100</v>
      </c>
      <c r="V23" s="772" t="s">
        <v>17</v>
      </c>
      <c r="W23" s="773">
        <f>J23</f>
        <v>100</v>
      </c>
      <c r="X23" s="1807"/>
      <c r="Y23" s="3345"/>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412"/>
      <c r="Q24" s="1804"/>
      <c r="R24" s="772"/>
      <c r="S24" s="773"/>
      <c r="T24" s="772"/>
      <c r="U24" s="773"/>
      <c r="V24" s="772"/>
      <c r="W24" s="773"/>
      <c r="X24" s="1807"/>
      <c r="Y24" s="3345"/>
      <c r="Z24" s="1808"/>
      <c r="AA24" s="1805">
        <v>1</v>
      </c>
      <c r="AB24" s="1805">
        <v>1</v>
      </c>
      <c r="AC24" s="2658">
        <v>1</v>
      </c>
    </row>
    <row r="25" spans="1:29" ht="28.8">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412"/>
      <c r="Q25" s="1804" t="str">
        <f>B25</f>
        <v>毗邻道路的类型与等级</v>
      </c>
      <c r="R25" s="772" t="s">
        <v>17</v>
      </c>
      <c r="S25" s="773">
        <f>F25</f>
        <v>100</v>
      </c>
      <c r="T25" s="772" t="s">
        <v>17</v>
      </c>
      <c r="U25" s="773">
        <f>H25</f>
        <v>100</v>
      </c>
      <c r="V25" s="772" t="s">
        <v>17</v>
      </c>
      <c r="W25" s="773">
        <f>J25</f>
        <v>100</v>
      </c>
      <c r="X25" s="1807"/>
      <c r="Y25" s="3345"/>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412"/>
      <c r="Q26" s="1804"/>
      <c r="R26" s="772"/>
      <c r="S26" s="773"/>
      <c r="T26" s="772"/>
      <c r="U26" s="773"/>
      <c r="V26" s="772"/>
      <c r="W26" s="773"/>
      <c r="X26" s="1807"/>
      <c r="Y26" s="3345"/>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412"/>
      <c r="Q27" s="1804" t="str">
        <f t="shared" ref="Q27:Q47" si="11">B27</f>
        <v>楼层</v>
      </c>
      <c r="R27" s="772" t="s">
        <v>17</v>
      </c>
      <c r="S27" s="773">
        <f>F27</f>
        <v>100</v>
      </c>
      <c r="T27" s="772" t="s">
        <v>17</v>
      </c>
      <c r="U27" s="773">
        <f>H27</f>
        <v>100</v>
      </c>
      <c r="V27" s="772" t="s">
        <v>17</v>
      </c>
      <c r="W27" s="773">
        <f>J27</f>
        <v>100</v>
      </c>
      <c r="X27" s="1807"/>
      <c r="Y27" s="3345"/>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412"/>
      <c r="Q28" s="1789" t="str">
        <f t="shared" si="11"/>
        <v>朝向</v>
      </c>
      <c r="R28" s="768" t="s">
        <v>17</v>
      </c>
      <c r="S28" s="769">
        <f>F28</f>
        <v>100</v>
      </c>
      <c r="T28" s="768" t="s">
        <v>17</v>
      </c>
      <c r="U28" s="769">
        <f>H28</f>
        <v>100</v>
      </c>
      <c r="V28" s="768" t="s">
        <v>17</v>
      </c>
      <c r="W28" s="769">
        <f>J28</f>
        <v>100</v>
      </c>
      <c r="X28" s="770"/>
      <c r="Y28" s="3345"/>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412"/>
      <c r="Q29" s="1804">
        <f t="shared" si="11"/>
        <v>111</v>
      </c>
      <c r="R29" s="772" t="s">
        <v>17</v>
      </c>
      <c r="S29" s="773">
        <f t="shared" ref="S29:S47" si="12">F29</f>
        <v>100</v>
      </c>
      <c r="T29" s="772" t="s">
        <v>17</v>
      </c>
      <c r="U29" s="773">
        <f t="shared" ref="U29:U47" si="13">H29</f>
        <v>100</v>
      </c>
      <c r="V29" s="772" t="s">
        <v>17</v>
      </c>
      <c r="W29" s="773">
        <f t="shared" ref="W29:W47" si="14">J29</f>
        <v>100</v>
      </c>
      <c r="X29" s="1807"/>
      <c r="Y29" s="3345"/>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412"/>
      <c r="Q30" s="1804">
        <f t="shared" si="11"/>
        <v>111</v>
      </c>
      <c r="R30" s="772" t="s">
        <v>17</v>
      </c>
      <c r="S30" s="773">
        <f t="shared" si="12"/>
        <v>100</v>
      </c>
      <c r="T30" s="772" t="s">
        <v>17</v>
      </c>
      <c r="U30" s="773">
        <f t="shared" si="13"/>
        <v>100</v>
      </c>
      <c r="V30" s="772" t="s">
        <v>17</v>
      </c>
      <c r="W30" s="773">
        <f t="shared" si="14"/>
        <v>100</v>
      </c>
      <c r="X30" s="1807"/>
      <c r="Y30" s="3345"/>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412"/>
      <c r="Q31" s="1804">
        <f t="shared" si="11"/>
        <v>111</v>
      </c>
      <c r="R31" s="772" t="s">
        <v>17</v>
      </c>
      <c r="S31" s="773">
        <f t="shared" si="12"/>
        <v>100</v>
      </c>
      <c r="T31" s="772" t="s">
        <v>17</v>
      </c>
      <c r="U31" s="773">
        <f t="shared" si="13"/>
        <v>100</v>
      </c>
      <c r="V31" s="772" t="s">
        <v>17</v>
      </c>
      <c r="W31" s="773">
        <f t="shared" si="14"/>
        <v>100</v>
      </c>
      <c r="X31" s="1807"/>
      <c r="Y31" s="3345"/>
      <c r="Z31" s="1808">
        <f t="shared" si="15"/>
        <v>111</v>
      </c>
      <c r="AA31" s="1805">
        <f t="shared" si="3"/>
        <v>1</v>
      </c>
      <c r="AB31" s="1805">
        <f t="shared" si="4"/>
        <v>1</v>
      </c>
      <c r="AC31" s="2658">
        <f t="shared" si="5"/>
        <v>1</v>
      </c>
    </row>
    <row r="32" spans="1:29" ht="15.6"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412"/>
      <c r="Q32" s="1804">
        <f t="shared" si="11"/>
        <v>111</v>
      </c>
      <c r="R32" s="772" t="s">
        <v>17</v>
      </c>
      <c r="S32" s="773">
        <f t="shared" si="12"/>
        <v>100</v>
      </c>
      <c r="T32" s="772" t="s">
        <v>17</v>
      </c>
      <c r="U32" s="773">
        <f t="shared" si="13"/>
        <v>100</v>
      </c>
      <c r="V32" s="772" t="s">
        <v>17</v>
      </c>
      <c r="W32" s="773">
        <f t="shared" si="14"/>
        <v>100</v>
      </c>
      <c r="X32" s="1807"/>
      <c r="Y32" s="3345"/>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407" t="s">
        <v>2547</v>
      </c>
      <c r="Q33" s="1804" t="str">
        <f t="shared" si="11"/>
        <v>建筑类型</v>
      </c>
      <c r="R33" s="772" t="s">
        <v>17</v>
      </c>
      <c r="S33" s="773">
        <f t="shared" si="12"/>
        <v>100</v>
      </c>
      <c r="T33" s="772" t="s">
        <v>17</v>
      </c>
      <c r="U33" s="773">
        <f t="shared" si="13"/>
        <v>100</v>
      </c>
      <c r="V33" s="772" t="s">
        <v>17</v>
      </c>
      <c r="W33" s="773">
        <f t="shared" si="14"/>
        <v>100</v>
      </c>
      <c r="X33" s="1807"/>
      <c r="Y33" s="3347"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408"/>
      <c r="Q34" s="774" t="str">
        <f t="shared" si="11"/>
        <v>项目建筑规模</v>
      </c>
      <c r="R34" s="775" t="s">
        <v>17</v>
      </c>
      <c r="S34" s="776" t="e">
        <f t="shared" si="12"/>
        <v>#N/A</v>
      </c>
      <c r="T34" s="775" t="s">
        <v>17</v>
      </c>
      <c r="U34" s="776" t="e">
        <f t="shared" si="13"/>
        <v>#N/A</v>
      </c>
      <c r="V34" s="775" t="s">
        <v>17</v>
      </c>
      <c r="W34" s="776" t="e">
        <f t="shared" si="14"/>
        <v>#N/A</v>
      </c>
      <c r="X34" s="777"/>
      <c r="Y34" s="3347"/>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408"/>
      <c r="Q35" s="1804" t="str">
        <f t="shared" si="11"/>
        <v>建筑结构</v>
      </c>
      <c r="R35" s="772" t="s">
        <v>17</v>
      </c>
      <c r="S35" s="773">
        <f t="shared" si="12"/>
        <v>100</v>
      </c>
      <c r="T35" s="772" t="s">
        <v>17</v>
      </c>
      <c r="U35" s="773">
        <f t="shared" si="13"/>
        <v>100</v>
      </c>
      <c r="V35" s="772" t="s">
        <v>17</v>
      </c>
      <c r="W35" s="773">
        <f t="shared" si="14"/>
        <v>100</v>
      </c>
      <c r="X35" s="1807"/>
      <c r="Y35" s="3347"/>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408"/>
      <c r="Q36" s="1804" t="str">
        <f t="shared" si="11"/>
        <v>公共部分装修</v>
      </c>
      <c r="R36" s="772" t="s">
        <v>17</v>
      </c>
      <c r="S36" s="773">
        <f t="shared" si="12"/>
        <v>100</v>
      </c>
      <c r="T36" s="772" t="s">
        <v>17</v>
      </c>
      <c r="U36" s="773">
        <f t="shared" si="13"/>
        <v>100</v>
      </c>
      <c r="V36" s="772" t="s">
        <v>17</v>
      </c>
      <c r="W36" s="773">
        <f t="shared" si="14"/>
        <v>100</v>
      </c>
      <c r="X36" s="1807"/>
      <c r="Y36" s="3347"/>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408"/>
      <c r="Q37" s="1804" t="str">
        <f t="shared" si="11"/>
        <v>成新度</v>
      </c>
      <c r="R37" s="772" t="s">
        <v>17</v>
      </c>
      <c r="S37" s="773" t="e">
        <f t="shared" si="12"/>
        <v>#N/A</v>
      </c>
      <c r="T37" s="772" t="s">
        <v>17</v>
      </c>
      <c r="U37" s="773" t="e">
        <f t="shared" si="13"/>
        <v>#N/A</v>
      </c>
      <c r="V37" s="772" t="s">
        <v>17</v>
      </c>
      <c r="W37" s="773" t="e">
        <f t="shared" si="14"/>
        <v>#N/A</v>
      </c>
      <c r="X37" s="1807"/>
      <c r="Y37" s="3347"/>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408"/>
      <c r="Q38" s="1789" t="str">
        <f t="shared" si="11"/>
        <v>写字楼等级</v>
      </c>
      <c r="R38" s="768" t="s">
        <v>17</v>
      </c>
      <c r="S38" s="769">
        <f t="shared" si="12"/>
        <v>100</v>
      </c>
      <c r="T38" s="768" t="s">
        <v>17</v>
      </c>
      <c r="U38" s="769">
        <f t="shared" si="13"/>
        <v>100</v>
      </c>
      <c r="V38" s="768" t="s">
        <v>17</v>
      </c>
      <c r="W38" s="769">
        <f t="shared" si="14"/>
        <v>100</v>
      </c>
      <c r="X38" s="770"/>
      <c r="Y38" s="3347"/>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408" t="s">
        <v>2547</v>
      </c>
      <c r="Q39" s="1804" t="str">
        <f t="shared" si="11"/>
        <v>物业管理</v>
      </c>
      <c r="R39" s="772" t="s">
        <v>17</v>
      </c>
      <c r="S39" s="773">
        <f t="shared" si="12"/>
        <v>100</v>
      </c>
      <c r="T39" s="772" t="s">
        <v>17</v>
      </c>
      <c r="U39" s="773">
        <f t="shared" si="13"/>
        <v>100</v>
      </c>
      <c r="V39" s="772" t="s">
        <v>17</v>
      </c>
      <c r="W39" s="773">
        <f t="shared" si="14"/>
        <v>100</v>
      </c>
      <c r="X39" s="1807"/>
      <c r="Y39" s="3347"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408"/>
      <c r="Q40" s="1804" t="str">
        <f t="shared" si="11"/>
        <v>市政基础设施</v>
      </c>
      <c r="R40" s="772" t="s">
        <v>17</v>
      </c>
      <c r="S40" s="773">
        <f t="shared" si="12"/>
        <v>100</v>
      </c>
      <c r="T40" s="772" t="s">
        <v>17</v>
      </c>
      <c r="U40" s="773">
        <f t="shared" si="13"/>
        <v>100</v>
      </c>
      <c r="V40" s="772" t="s">
        <v>17</v>
      </c>
      <c r="W40" s="773">
        <f t="shared" si="14"/>
        <v>100</v>
      </c>
      <c r="X40" s="1807"/>
      <c r="Y40" s="3347"/>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408"/>
      <c r="Q41" s="1804" t="str">
        <f t="shared" si="11"/>
        <v>层高</v>
      </c>
      <c r="R41" s="772" t="s">
        <v>17</v>
      </c>
      <c r="S41" s="773">
        <f t="shared" si="12"/>
        <v>100</v>
      </c>
      <c r="T41" s="772" t="s">
        <v>17</v>
      </c>
      <c r="U41" s="773">
        <f t="shared" si="13"/>
        <v>100</v>
      </c>
      <c r="V41" s="772" t="s">
        <v>17</v>
      </c>
      <c r="W41" s="773">
        <f t="shared" si="14"/>
        <v>100</v>
      </c>
      <c r="X41" s="1807"/>
      <c r="Y41" s="3347"/>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408"/>
      <c r="Q42" s="774" t="str">
        <f t="shared" si="11"/>
        <v>单套建筑面积</v>
      </c>
      <c r="R42" s="775" t="s">
        <v>17</v>
      </c>
      <c r="S42" s="776">
        <f t="shared" si="12"/>
        <v>100</v>
      </c>
      <c r="T42" s="775" t="s">
        <v>17</v>
      </c>
      <c r="U42" s="776">
        <f t="shared" si="13"/>
        <v>100</v>
      </c>
      <c r="V42" s="775" t="s">
        <v>17</v>
      </c>
      <c r="W42" s="776">
        <f t="shared" si="14"/>
        <v>100</v>
      </c>
      <c r="X42" s="777"/>
      <c r="Y42" s="3347"/>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408"/>
      <c r="Q43" s="1804" t="str">
        <f t="shared" si="11"/>
        <v>内部装修</v>
      </c>
      <c r="R43" s="772" t="s">
        <v>17</v>
      </c>
      <c r="S43" s="773">
        <f t="shared" si="12"/>
        <v>100</v>
      </c>
      <c r="T43" s="772" t="s">
        <v>17</v>
      </c>
      <c r="U43" s="773">
        <f t="shared" si="13"/>
        <v>100</v>
      </c>
      <c r="V43" s="772" t="s">
        <v>17</v>
      </c>
      <c r="W43" s="773">
        <f t="shared" si="14"/>
        <v>100</v>
      </c>
      <c r="X43" s="1807"/>
      <c r="Y43" s="3347"/>
      <c r="Z43" s="1808" t="str">
        <f t="shared" si="15"/>
        <v>内部装修</v>
      </c>
      <c r="AA43" s="1805">
        <f t="shared" si="3"/>
        <v>1</v>
      </c>
      <c r="AB43" s="1805">
        <f t="shared" si="4"/>
        <v>1</v>
      </c>
      <c r="AC43" s="2658">
        <f t="shared" si="5"/>
        <v>1</v>
      </c>
    </row>
    <row r="44" spans="1:29" ht="28.8">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408"/>
      <c r="Q44" s="1804" t="str">
        <f t="shared" si="11"/>
        <v>内部装修维护情况</v>
      </c>
      <c r="R44" s="772" t="s">
        <v>17</v>
      </c>
      <c r="S44" s="773">
        <f t="shared" si="12"/>
        <v>100</v>
      </c>
      <c r="T44" s="772" t="s">
        <v>17</v>
      </c>
      <c r="U44" s="773">
        <f t="shared" si="13"/>
        <v>100</v>
      </c>
      <c r="V44" s="772" t="s">
        <v>17</v>
      </c>
      <c r="W44" s="773">
        <f t="shared" si="14"/>
        <v>100</v>
      </c>
      <c r="X44" s="1807"/>
      <c r="Y44" s="3347"/>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408"/>
      <c r="Q45" s="1789">
        <f t="shared" si="11"/>
        <v>111</v>
      </c>
      <c r="R45" s="768" t="s">
        <v>17</v>
      </c>
      <c r="S45" s="769">
        <f t="shared" si="12"/>
        <v>100</v>
      </c>
      <c r="T45" s="768" t="s">
        <v>17</v>
      </c>
      <c r="U45" s="769">
        <f t="shared" si="13"/>
        <v>100</v>
      </c>
      <c r="V45" s="768" t="s">
        <v>17</v>
      </c>
      <c r="W45" s="769">
        <f t="shared" si="14"/>
        <v>100</v>
      </c>
      <c r="X45" s="770"/>
      <c r="Y45" s="3347"/>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408"/>
      <c r="Q46" s="1804">
        <f t="shared" si="11"/>
        <v>111</v>
      </c>
      <c r="R46" s="772" t="s">
        <v>17</v>
      </c>
      <c r="S46" s="773">
        <f t="shared" si="12"/>
        <v>100</v>
      </c>
      <c r="T46" s="772" t="s">
        <v>17</v>
      </c>
      <c r="U46" s="773">
        <f t="shared" si="13"/>
        <v>100</v>
      </c>
      <c r="V46" s="772" t="s">
        <v>17</v>
      </c>
      <c r="W46" s="773">
        <f t="shared" si="14"/>
        <v>100</v>
      </c>
      <c r="X46" s="1807"/>
      <c r="Y46" s="3347"/>
      <c r="Z46" s="1808">
        <f t="shared" si="15"/>
        <v>111</v>
      </c>
      <c r="AA46" s="1805">
        <f t="shared" si="3"/>
        <v>1</v>
      </c>
      <c r="AB46" s="1805">
        <f t="shared" si="4"/>
        <v>1</v>
      </c>
      <c r="AC46" s="2658">
        <f t="shared" si="5"/>
        <v>1</v>
      </c>
    </row>
    <row r="47" spans="1:29" ht="15.6"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409"/>
      <c r="Q47" s="1804">
        <f t="shared" si="11"/>
        <v>111</v>
      </c>
      <c r="R47" s="772" t="s">
        <v>17</v>
      </c>
      <c r="S47" s="773">
        <f t="shared" si="12"/>
        <v>100</v>
      </c>
      <c r="T47" s="772" t="s">
        <v>17</v>
      </c>
      <c r="U47" s="773">
        <f t="shared" si="13"/>
        <v>100</v>
      </c>
      <c r="V47" s="772" t="s">
        <v>17</v>
      </c>
      <c r="W47" s="773">
        <f t="shared" si="14"/>
        <v>100</v>
      </c>
      <c r="X47" s="1807"/>
      <c r="Y47" s="3410"/>
      <c r="Z47" s="1808">
        <f t="shared" si="15"/>
        <v>111</v>
      </c>
      <c r="AA47" s="1805">
        <f t="shared" si="3"/>
        <v>1</v>
      </c>
      <c r="AB47" s="1805">
        <f t="shared" si="4"/>
        <v>1</v>
      </c>
      <c r="AC47" s="2658">
        <f t="shared" si="5"/>
        <v>1</v>
      </c>
    </row>
    <row r="48" spans="1:29" ht="14.4">
      <c r="A48" s="477" t="s">
        <v>2559</v>
      </c>
      <c r="B48" s="478"/>
      <c r="C48" s="1403" t="s">
        <v>1</v>
      </c>
      <c r="D48" s="1404"/>
      <c r="E48" s="1405"/>
      <c r="F48" s="1406"/>
      <c r="G48" s="1407"/>
      <c r="H48" s="1408"/>
      <c r="I48" s="1405"/>
      <c r="J48" s="483"/>
      <c r="K48" s="781"/>
      <c r="L48" s="1139"/>
      <c r="M48" s="1127"/>
      <c r="N48" s="1127"/>
      <c r="O48" s="1127"/>
      <c r="P48" s="3341" t="str">
        <f>A48</f>
        <v>成交单价（元/平方米）</v>
      </c>
      <c r="Q48" s="3342"/>
      <c r="R48" s="3383">
        <f>E48</f>
        <v>0</v>
      </c>
      <c r="S48" s="3383"/>
      <c r="T48" s="3383">
        <f>G48</f>
        <v>0</v>
      </c>
      <c r="U48" s="3383"/>
      <c r="V48" s="3383">
        <f>I48</f>
        <v>0</v>
      </c>
      <c r="W48" s="3383"/>
      <c r="X48" s="444"/>
      <c r="Y48" s="779"/>
      <c r="Z48" s="444"/>
      <c r="AA48" s="444"/>
      <c r="AB48" s="444"/>
      <c r="AC48" s="628"/>
    </row>
    <row r="49" spans="1:29" ht="1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41" t="str">
        <f>A49</f>
        <v>比较价值（元/平方米）</v>
      </c>
      <c r="Q49" s="334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444"/>
      <c r="Y49" s="444"/>
      <c r="Z49" s="444"/>
      <c r="AA49" s="444"/>
      <c r="AB49" s="444"/>
      <c r="AC49" s="628"/>
    </row>
    <row r="50" spans="1:29" ht="15" thickBot="1">
      <c r="A50" s="490" t="s">
        <v>2652</v>
      </c>
      <c r="B50" s="491"/>
      <c r="C50" s="1413" t="e">
        <f>R50</f>
        <v>#DIV/0!</v>
      </c>
      <c r="D50" s="1413"/>
      <c r="E50" s="1413"/>
      <c r="F50" s="1413"/>
      <c r="G50" s="1413"/>
      <c r="H50" s="1413"/>
      <c r="I50" s="1413"/>
      <c r="J50" s="492"/>
      <c r="K50" s="783"/>
      <c r="L50" s="1139"/>
      <c r="M50" s="1127"/>
      <c r="N50" s="1127"/>
      <c r="O50" s="1127"/>
      <c r="P50" s="3413" t="str">
        <f>A50</f>
        <v>估价对象XX用房的比较价值（楼面单价，元/平方米）</v>
      </c>
      <c r="Q50" s="3414"/>
      <c r="R50" s="3415" t="e">
        <f>IF(F1="售价",ROUND(AVERAGE(R49:V49),0),ROUND(AVERAGE(R49:V49),1))</f>
        <v>#DIV/0!</v>
      </c>
      <c r="S50" s="3415"/>
      <c r="T50" s="3415"/>
      <c r="U50" s="3415"/>
      <c r="V50" s="3415"/>
      <c r="W50" s="3415"/>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2.2" thickBot="1">
      <c r="A58" s="761" t="s">
        <v>2656</v>
      </c>
      <c r="B58" s="757"/>
      <c r="C58" s="762"/>
      <c r="D58" s="762"/>
      <c r="E58" s="762"/>
      <c r="F58" s="763"/>
      <c r="G58" s="763"/>
      <c r="H58" s="762"/>
      <c r="I58" s="762"/>
      <c r="J58" s="762"/>
      <c r="K58" s="764"/>
      <c r="L58" s="1157"/>
      <c r="M58" s="1155"/>
      <c r="N58" s="1155"/>
      <c r="O58" s="1155"/>
      <c r="P58" s="2665"/>
      <c r="Q58" s="502"/>
    </row>
    <row r="59" spans="1:29" s="506" customFormat="1" ht="14.4">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c r="A60" s="507"/>
      <c r="B60" s="508"/>
      <c r="C60" s="1567">
        <v>100</v>
      </c>
      <c r="D60" s="510"/>
      <c r="E60" s="510"/>
      <c r="F60" s="510"/>
      <c r="G60" s="510"/>
      <c r="H60" s="510"/>
      <c r="I60" s="510"/>
      <c r="J60" s="510"/>
      <c r="K60" s="510"/>
      <c r="L60" s="510"/>
      <c r="M60" s="511"/>
      <c r="N60" s="510"/>
      <c r="O60" s="511"/>
      <c r="P60" s="2666"/>
    </row>
    <row r="61" spans="1:29" s="115" customFormat="1" ht="15" thickBot="1">
      <c r="A61" s="513" t="s">
        <v>2567</v>
      </c>
      <c r="B61" s="514"/>
      <c r="C61" s="515"/>
      <c r="D61" s="516"/>
      <c r="E61" s="516"/>
      <c r="F61" s="516"/>
      <c r="G61" s="516"/>
      <c r="H61" s="516"/>
      <c r="I61" s="516"/>
      <c r="J61" s="516"/>
      <c r="K61" s="516"/>
      <c r="L61" s="516"/>
      <c r="M61" s="517"/>
      <c r="N61" s="516"/>
      <c r="O61" s="517"/>
      <c r="P61" s="2666"/>
      <c r="Q61" s="502"/>
    </row>
    <row r="62" spans="1:29" s="115" customFormat="1" ht="14.4">
      <c r="A62" s="519" t="s">
        <v>2532</v>
      </c>
      <c r="B62" s="508"/>
      <c r="C62" s="520" t="s">
        <v>2634</v>
      </c>
      <c r="D62" s="521"/>
      <c r="E62" s="521"/>
      <c r="F62" s="521"/>
      <c r="G62" s="521"/>
      <c r="H62" s="521"/>
      <c r="I62" s="521"/>
      <c r="J62" s="521"/>
      <c r="K62" s="521"/>
      <c r="L62" s="522"/>
      <c r="M62" s="523"/>
      <c r="N62" s="1147"/>
      <c r="O62" s="1147"/>
      <c r="P62" s="2667"/>
      <c r="Q62" s="502"/>
    </row>
    <row r="63" spans="1:29" s="115" customFormat="1" ht="14.4" thickBot="1">
      <c r="A63" s="519"/>
      <c r="B63" s="508"/>
      <c r="C63" s="509">
        <v>100</v>
      </c>
      <c r="D63" s="510"/>
      <c r="E63" s="510"/>
      <c r="F63" s="510"/>
      <c r="G63" s="510"/>
      <c r="H63" s="510"/>
      <c r="I63" s="510"/>
      <c r="J63" s="510"/>
      <c r="K63" s="510"/>
      <c r="L63" s="510"/>
      <c r="M63" s="512"/>
      <c r="N63" s="1147"/>
      <c r="O63" s="1147"/>
      <c r="P63" s="2666"/>
      <c r="Q63" s="502"/>
    </row>
    <row r="64" spans="1:29" ht="14.4">
      <c r="A64" s="525" t="s">
        <v>2570</v>
      </c>
      <c r="B64" s="526" t="s">
        <v>2536</v>
      </c>
      <c r="C64" s="527">
        <f>C9</f>
        <v>0</v>
      </c>
      <c r="D64" s="528"/>
      <c r="E64" s="528"/>
      <c r="F64" s="528"/>
      <c r="G64" s="528"/>
      <c r="H64" s="528"/>
      <c r="I64" s="528"/>
      <c r="J64" s="528"/>
      <c r="K64" s="529"/>
      <c r="L64" s="530"/>
      <c r="M64" s="531"/>
      <c r="N64" s="1148"/>
      <c r="O64" s="1148"/>
      <c r="P64" s="2668"/>
      <c r="Q64" s="502"/>
    </row>
    <row r="65" spans="1:17" ht="14.4" thickBot="1">
      <c r="A65" s="532"/>
      <c r="B65" s="533"/>
      <c r="C65" s="534">
        <v>100</v>
      </c>
      <c r="D65" s="534"/>
      <c r="E65" s="534"/>
      <c r="F65" s="534"/>
      <c r="G65" s="534"/>
      <c r="H65" s="534"/>
      <c r="I65" s="534"/>
      <c r="J65" s="534"/>
      <c r="K65" s="534"/>
      <c r="L65" s="534"/>
      <c r="M65" s="535"/>
      <c r="N65" s="1149"/>
      <c r="O65" s="1149"/>
      <c r="P65" s="2668"/>
      <c r="Q65" s="502"/>
    </row>
    <row r="66" spans="1:17" ht="29.4"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c r="A69" s="532"/>
      <c r="B69" s="546"/>
      <c r="C69" s="547"/>
      <c r="D69" s="547"/>
      <c r="E69" s="547"/>
      <c r="F69" s="547"/>
      <c r="G69" s="547"/>
      <c r="H69" s="547"/>
      <c r="I69" s="547"/>
      <c r="J69" s="547"/>
      <c r="K69" s="548"/>
      <c r="L69" s="549"/>
      <c r="M69" s="550"/>
      <c r="N69" s="1148"/>
      <c r="O69" s="1148"/>
      <c r="P69" s="2668"/>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4.4" thickTop="1">
      <c r="A71" s="551"/>
      <c r="B71" s="536">
        <f>B12</f>
        <v>111</v>
      </c>
      <c r="C71" s="552"/>
      <c r="D71" s="552"/>
      <c r="E71" s="552"/>
      <c r="F71" s="552"/>
      <c r="G71" s="552"/>
      <c r="H71" s="553"/>
      <c r="I71" s="553"/>
      <c r="J71" s="553"/>
      <c r="K71" s="553"/>
      <c r="L71" s="554"/>
      <c r="M71" s="555"/>
      <c r="N71" s="1150"/>
      <c r="O71" s="1150"/>
      <c r="P71" s="2669"/>
      <c r="Q71" s="557"/>
    </row>
    <row r="72" spans="1:17" s="469" customFormat="1" ht="14.4" thickBot="1">
      <c r="A72" s="551"/>
      <c r="B72" s="541"/>
      <c r="C72" s="558"/>
      <c r="D72" s="534"/>
      <c r="E72" s="534"/>
      <c r="F72" s="534"/>
      <c r="G72" s="534"/>
      <c r="H72" s="534"/>
      <c r="I72" s="534"/>
      <c r="J72" s="534"/>
      <c r="K72" s="534"/>
      <c r="L72" s="534"/>
      <c r="M72" s="535"/>
      <c r="N72" s="1149"/>
      <c r="O72" s="1149"/>
      <c r="P72" s="2669"/>
      <c r="Q72" s="557"/>
    </row>
    <row r="73" spans="1:17" s="469" customFormat="1" ht="14.4" thickTop="1">
      <c r="A73" s="551"/>
      <c r="B73" s="536">
        <f>B13</f>
        <v>111</v>
      </c>
      <c r="C73" s="552"/>
      <c r="D73" s="552"/>
      <c r="E73" s="552"/>
      <c r="F73" s="552"/>
      <c r="G73" s="552"/>
      <c r="H73" s="553"/>
      <c r="I73" s="553"/>
      <c r="J73" s="553"/>
      <c r="K73" s="553"/>
      <c r="L73" s="554"/>
      <c r="M73" s="555"/>
      <c r="N73" s="1150"/>
      <c r="O73" s="1150"/>
      <c r="P73" s="2670"/>
      <c r="Q73" s="559"/>
    </row>
    <row r="74" spans="1:17" s="469" customFormat="1" ht="14.4" thickBot="1">
      <c r="A74" s="551"/>
      <c r="B74" s="541"/>
      <c r="C74" s="558"/>
      <c r="D74" s="558"/>
      <c r="E74" s="558"/>
      <c r="F74" s="558"/>
      <c r="G74" s="558"/>
      <c r="H74" s="560"/>
      <c r="I74" s="560"/>
      <c r="J74" s="560"/>
      <c r="K74" s="560"/>
      <c r="L74" s="560"/>
      <c r="M74" s="561"/>
      <c r="N74" s="1150"/>
      <c r="O74" s="1150"/>
      <c r="P74" s="2669"/>
      <c r="Q74" s="557"/>
    </row>
    <row r="75" spans="1:17" s="469" customFormat="1" ht="14.4" thickTop="1">
      <c r="A75" s="551"/>
      <c r="B75" s="544">
        <f>B14</f>
        <v>111</v>
      </c>
      <c r="C75" s="521"/>
      <c r="D75" s="521"/>
      <c r="E75" s="521"/>
      <c r="F75" s="521"/>
      <c r="G75" s="521"/>
      <c r="H75" s="562"/>
      <c r="I75" s="562"/>
      <c r="J75" s="562"/>
      <c r="K75" s="562"/>
      <c r="L75" s="563"/>
      <c r="M75" s="564"/>
      <c r="N75" s="1150"/>
      <c r="O75" s="1150"/>
      <c r="P75" s="2671"/>
      <c r="Q75" s="557"/>
    </row>
    <row r="76" spans="1:17" s="469" customFormat="1" ht="14.4" thickBot="1">
      <c r="A76" s="566"/>
      <c r="B76" s="567"/>
      <c r="C76" s="568"/>
      <c r="D76" s="568"/>
      <c r="E76" s="568"/>
      <c r="F76" s="568"/>
      <c r="G76" s="568"/>
      <c r="H76" s="569"/>
      <c r="I76" s="569"/>
      <c r="J76" s="569"/>
      <c r="K76" s="569"/>
      <c r="L76" s="569"/>
      <c r="M76" s="570"/>
      <c r="N76" s="1150"/>
      <c r="O76" s="1150"/>
      <c r="P76" s="2669"/>
      <c r="Q76" s="557"/>
    </row>
    <row r="77" spans="1:17" ht="14.4">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9.4" thickTop="1">
      <c r="A87" s="577"/>
      <c r="B87" s="536" t="s">
        <v>2681</v>
      </c>
      <c r="C87" s="552"/>
      <c r="D87" s="552"/>
      <c r="E87" s="552"/>
      <c r="F87" s="552"/>
      <c r="G87" s="552"/>
      <c r="H87" s="552"/>
      <c r="I87" s="552"/>
      <c r="J87" s="552"/>
      <c r="K87" s="552"/>
      <c r="L87" s="578"/>
      <c r="M87" s="579"/>
      <c r="N87" s="1147"/>
      <c r="O87" s="1147"/>
      <c r="P87" s="2668"/>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4.4"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4.4"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4.4" thickTop="1">
      <c r="A93" s="532"/>
      <c r="B93" s="536">
        <f>B29</f>
        <v>111</v>
      </c>
      <c r="C93" s="552"/>
      <c r="D93" s="552"/>
      <c r="E93" s="552"/>
      <c r="F93" s="552"/>
      <c r="G93" s="552"/>
      <c r="H93" s="552"/>
      <c r="I93" s="552"/>
      <c r="J93" s="552"/>
      <c r="K93" s="552"/>
      <c r="L93" s="578"/>
      <c r="M93" s="579"/>
      <c r="N93" s="1148"/>
      <c r="O93" s="1148"/>
      <c r="P93" s="2668"/>
      <c r="Q93" s="502"/>
    </row>
    <row r="94" spans="1:17" ht="14.4" thickBot="1">
      <c r="A94" s="532"/>
      <c r="B94" s="541"/>
      <c r="C94" s="558"/>
      <c r="D94" s="534"/>
      <c r="E94" s="534"/>
      <c r="F94" s="534"/>
      <c r="G94" s="534"/>
      <c r="H94" s="534"/>
      <c r="I94" s="534"/>
      <c r="J94" s="534"/>
      <c r="K94" s="534"/>
      <c r="L94" s="534"/>
      <c r="M94" s="535"/>
      <c r="N94" s="1149"/>
      <c r="O94" s="1149"/>
      <c r="P94" s="2668"/>
      <c r="Q94" s="502"/>
    </row>
    <row r="95" spans="1:17" ht="14.4" thickTop="1">
      <c r="A95" s="532"/>
      <c r="B95" s="536">
        <f>B30</f>
        <v>111</v>
      </c>
      <c r="C95" s="552"/>
      <c r="D95" s="552"/>
      <c r="E95" s="552"/>
      <c r="F95" s="552"/>
      <c r="G95" s="581"/>
      <c r="H95" s="581"/>
      <c r="I95" s="581"/>
      <c r="J95" s="581"/>
      <c r="K95" s="582"/>
      <c r="L95" s="583"/>
      <c r="M95" s="584"/>
      <c r="N95" s="1148"/>
      <c r="O95" s="1148"/>
      <c r="P95" s="2668"/>
      <c r="Q95" s="502"/>
    </row>
    <row r="96" spans="1:17" ht="14.4" thickBot="1">
      <c r="A96" s="532"/>
      <c r="B96" s="541"/>
      <c r="C96" s="558"/>
      <c r="D96" s="558"/>
      <c r="E96" s="558"/>
      <c r="F96" s="558"/>
      <c r="G96" s="534"/>
      <c r="H96" s="534"/>
      <c r="I96" s="534"/>
      <c r="J96" s="534"/>
      <c r="K96" s="534"/>
      <c r="L96" s="534"/>
      <c r="M96" s="535"/>
      <c r="N96" s="1149"/>
      <c r="O96" s="1149"/>
      <c r="P96" s="2668"/>
      <c r="Q96" s="502"/>
    </row>
    <row r="97" spans="1:17" ht="14.4" thickTop="1">
      <c r="A97" s="532"/>
      <c r="B97" s="536">
        <f>B31</f>
        <v>111</v>
      </c>
      <c r="C97" s="552"/>
      <c r="D97" s="552"/>
      <c r="E97" s="552"/>
      <c r="F97" s="552"/>
      <c r="G97" s="581"/>
      <c r="H97" s="581"/>
      <c r="I97" s="581"/>
      <c r="J97" s="581"/>
      <c r="K97" s="582"/>
      <c r="L97" s="583"/>
      <c r="M97" s="584"/>
      <c r="N97" s="1148"/>
      <c r="O97" s="1148"/>
      <c r="P97" s="2668"/>
      <c r="Q97" s="502"/>
    </row>
    <row r="98" spans="1:17" ht="14.4" thickBot="1">
      <c r="A98" s="532"/>
      <c r="B98" s="541"/>
      <c r="C98" s="558"/>
      <c r="D98" s="534"/>
      <c r="E98" s="534"/>
      <c r="F98" s="534"/>
      <c r="G98" s="534"/>
      <c r="H98" s="534"/>
      <c r="I98" s="534"/>
      <c r="J98" s="534"/>
      <c r="K98" s="534"/>
      <c r="L98" s="534"/>
      <c r="M98" s="535"/>
      <c r="N98" s="1149"/>
      <c r="O98" s="1149"/>
      <c r="P98" s="2668"/>
      <c r="Q98" s="502"/>
    </row>
    <row r="99" spans="1:17" ht="14.4" thickTop="1">
      <c r="A99" s="532"/>
      <c r="B99" s="544">
        <f>B32</f>
        <v>111</v>
      </c>
      <c r="C99" s="521"/>
      <c r="D99" s="521"/>
      <c r="E99" s="521"/>
      <c r="F99" s="521"/>
      <c r="G99" s="585"/>
      <c r="H99" s="585"/>
      <c r="I99" s="585"/>
      <c r="J99" s="585"/>
      <c r="K99" s="586"/>
      <c r="L99" s="587"/>
      <c r="M99" s="588"/>
      <c r="N99" s="1148"/>
      <c r="O99" s="1148"/>
      <c r="P99" s="2668"/>
      <c r="Q99" s="502"/>
    </row>
    <row r="100" spans="1:17" ht="14.4" thickBot="1">
      <c r="A100" s="2620"/>
      <c r="B100" s="567"/>
      <c r="C100" s="568"/>
      <c r="D100" s="568"/>
      <c r="E100" s="568"/>
      <c r="F100" s="568"/>
      <c r="G100" s="589"/>
      <c r="H100" s="589"/>
      <c r="I100" s="589"/>
      <c r="J100" s="589"/>
      <c r="K100" s="589"/>
      <c r="L100" s="589"/>
      <c r="M100" s="590"/>
      <c r="N100" s="1149"/>
      <c r="O100" s="1149"/>
      <c r="P100" s="2668"/>
      <c r="Q100" s="502"/>
    </row>
    <row r="101" spans="1:17" ht="14.4">
      <c r="A101" s="525" t="s">
        <v>2545</v>
      </c>
      <c r="B101" s="526" t="s">
        <v>2594</v>
      </c>
      <c r="C101" s="528"/>
      <c r="D101" s="528"/>
      <c r="E101" s="528"/>
      <c r="F101" s="528"/>
      <c r="G101" s="528"/>
      <c r="H101" s="528"/>
      <c r="I101" s="528"/>
      <c r="J101" s="528"/>
      <c r="K101" s="529"/>
      <c r="L101" s="530"/>
      <c r="M101" s="531"/>
      <c r="N101" s="1148"/>
      <c r="O101" s="1148"/>
      <c r="P101" s="2668"/>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4.4"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4.4"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29.4"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4.4"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4.4" thickBot="1">
      <c r="A128" s="551"/>
      <c r="B128" s="541"/>
      <c r="C128" s="558"/>
      <c r="D128" s="534"/>
      <c r="E128" s="534"/>
      <c r="F128" s="534"/>
      <c r="G128" s="558"/>
      <c r="H128" s="560"/>
      <c r="I128" s="560"/>
      <c r="J128" s="560"/>
      <c r="K128" s="560"/>
      <c r="L128" s="560"/>
      <c r="M128" s="561"/>
      <c r="N128" s="1150"/>
      <c r="O128" s="1150"/>
      <c r="P128" s="2669"/>
      <c r="Q128" s="557"/>
    </row>
    <row r="129" spans="1:17" ht="14.4" thickTop="1">
      <c r="A129" s="597"/>
      <c r="B129" s="536">
        <f>B46</f>
        <v>111</v>
      </c>
      <c r="C129" s="552"/>
      <c r="D129" s="552"/>
      <c r="E129" s="552"/>
      <c r="F129" s="552"/>
      <c r="G129" s="581"/>
      <c r="H129" s="581"/>
      <c r="I129" s="581"/>
      <c r="J129" s="581"/>
      <c r="K129" s="582"/>
      <c r="L129" s="583"/>
      <c r="M129" s="584"/>
      <c r="N129" s="1148"/>
      <c r="O129" s="1148"/>
      <c r="P129" s="2668"/>
      <c r="Q129" s="502"/>
    </row>
    <row r="130" spans="1:17" ht="14.4" thickBot="1">
      <c r="A130" s="532"/>
      <c r="B130" s="541"/>
      <c r="C130" s="558"/>
      <c r="D130" s="558"/>
      <c r="E130" s="558"/>
      <c r="F130" s="558"/>
      <c r="G130" s="534"/>
      <c r="H130" s="534"/>
      <c r="I130" s="534"/>
      <c r="J130" s="534"/>
      <c r="K130" s="534"/>
      <c r="L130" s="534"/>
      <c r="M130" s="535"/>
      <c r="N130" s="1149"/>
      <c r="O130" s="1149"/>
      <c r="P130" s="2668"/>
      <c r="Q130" s="502"/>
    </row>
    <row r="131" spans="1:17" ht="14.4" thickTop="1">
      <c r="A131" s="597"/>
      <c r="B131" s="544">
        <f>B47</f>
        <v>111</v>
      </c>
      <c r="C131" s="521"/>
      <c r="D131" s="521"/>
      <c r="E131" s="521"/>
      <c r="F131" s="521"/>
      <c r="G131" s="585"/>
      <c r="H131" s="585"/>
      <c r="I131" s="585"/>
      <c r="J131" s="585"/>
      <c r="K131" s="521"/>
      <c r="L131" s="522"/>
      <c r="M131" s="588"/>
      <c r="N131" s="1148"/>
      <c r="O131" s="1148"/>
      <c r="P131" s="2668"/>
      <c r="Q131" s="502"/>
    </row>
    <row r="132" spans="1:17" ht="14.4"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4.4">
      <c r="A4" s="399" t="s">
        <v>2627</v>
      </c>
      <c r="B4" s="400"/>
      <c r="C4" s="3339" t="s">
        <v>2628</v>
      </c>
      <c r="D4" s="3352"/>
      <c r="E4" s="3353" t="s">
        <v>2629</v>
      </c>
      <c r="F4" s="3354"/>
      <c r="G4" s="3339" t="s">
        <v>2630</v>
      </c>
      <c r="H4" s="3352"/>
      <c r="I4" s="3339" t="s">
        <v>2631</v>
      </c>
      <c r="J4" s="3352"/>
      <c r="K4" s="608" t="s">
        <v>2632</v>
      </c>
      <c r="L4" s="1126"/>
      <c r="M4" s="1127"/>
      <c r="N4" s="1127"/>
      <c r="O4" s="1127"/>
      <c r="P4" s="3355" t="s">
        <v>2633</v>
      </c>
      <c r="Q4" s="3356"/>
      <c r="R4" s="3361" t="s">
        <v>2629</v>
      </c>
      <c r="S4" s="3362"/>
      <c r="T4" s="3361" t="s">
        <v>2630</v>
      </c>
      <c r="U4" s="3362"/>
      <c r="V4" s="3348" t="s">
        <v>2631</v>
      </c>
      <c r="W4" s="3348"/>
      <c r="X4" s="1807"/>
      <c r="Y4" s="3361" t="s">
        <v>2633</v>
      </c>
      <c r="Z4" s="3362"/>
      <c r="AA4" s="3349" t="s">
        <v>2629</v>
      </c>
      <c r="AB4" s="3350" t="s">
        <v>2630</v>
      </c>
      <c r="AC4" s="3349" t="s">
        <v>2631</v>
      </c>
    </row>
    <row r="5" spans="1:29">
      <c r="A5" s="402"/>
      <c r="B5" s="403"/>
      <c r="C5" s="3369" t="s">
        <v>2524</v>
      </c>
      <c r="D5" s="3370"/>
      <c r="E5" s="3376" t="s">
        <v>2525</v>
      </c>
      <c r="F5" s="3377"/>
      <c r="G5" s="3369" t="s">
        <v>2526</v>
      </c>
      <c r="H5" s="3370"/>
      <c r="I5" s="3369" t="s">
        <v>2527</v>
      </c>
      <c r="J5" s="3370"/>
      <c r="K5" s="608"/>
      <c r="L5" s="1126"/>
      <c r="M5" s="1127"/>
      <c r="N5" s="1127"/>
      <c r="O5" s="1127"/>
      <c r="P5" s="3357"/>
      <c r="Q5" s="3358"/>
      <c r="R5" s="3363"/>
      <c r="S5" s="3364"/>
      <c r="T5" s="3363"/>
      <c r="U5" s="3364"/>
      <c r="V5" s="3348"/>
      <c r="W5" s="3348"/>
      <c r="X5" s="1807"/>
      <c r="Y5" s="3363"/>
      <c r="Z5" s="3364"/>
      <c r="AA5" s="3350"/>
      <c r="AB5" s="3350"/>
      <c r="AC5" s="3350"/>
    </row>
    <row r="6" spans="1:29" ht="15" thickBot="1">
      <c r="A6" s="404"/>
      <c r="B6" s="405"/>
      <c r="C6" s="3367" t="s">
        <v>2528</v>
      </c>
      <c r="D6" s="3368"/>
      <c r="E6" s="3374" t="s">
        <v>2528</v>
      </c>
      <c r="F6" s="3375"/>
      <c r="G6" s="3367" t="s">
        <v>2528</v>
      </c>
      <c r="H6" s="3368"/>
      <c r="I6" s="3367" t="s">
        <v>2528</v>
      </c>
      <c r="J6" s="3368"/>
      <c r="K6" s="608" t="s">
        <v>2529</v>
      </c>
      <c r="L6" s="1126"/>
      <c r="M6" s="1127"/>
      <c r="N6" s="1127"/>
      <c r="O6" s="1127"/>
      <c r="P6" s="3359"/>
      <c r="Q6" s="3360"/>
      <c r="R6" s="3363"/>
      <c r="S6" s="3364"/>
      <c r="T6" s="3365"/>
      <c r="U6" s="3366"/>
      <c r="V6" s="3348"/>
      <c r="W6" s="3348"/>
      <c r="X6" s="1807"/>
      <c r="Y6" s="3365"/>
      <c r="Z6" s="3366"/>
      <c r="AA6" s="3351"/>
      <c r="AB6" s="3351"/>
      <c r="AC6" s="3351"/>
    </row>
    <row r="7" spans="1:29" s="115" customFormat="1" ht="1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71" t="s">
        <v>2531</v>
      </c>
      <c r="Q7" s="3373"/>
      <c r="R7" s="768" t="s">
        <v>17</v>
      </c>
      <c r="S7" s="769">
        <f t="shared" ref="S7:S15" si="0">F7</f>
        <v>0</v>
      </c>
      <c r="T7" s="768" t="s">
        <v>17</v>
      </c>
      <c r="U7" s="769">
        <f t="shared" ref="U7:U15" si="1">H7</f>
        <v>0</v>
      </c>
      <c r="V7" s="768" t="s">
        <v>17</v>
      </c>
      <c r="W7" s="769">
        <f t="shared" ref="W7:W15" si="2">J7</f>
        <v>0</v>
      </c>
      <c r="X7" s="770"/>
      <c r="Y7" s="3371" t="s">
        <v>2531</v>
      </c>
      <c r="Z7" s="3372"/>
      <c r="AA7" s="771" t="e">
        <f>D7/F7</f>
        <v>#DIV/0!</v>
      </c>
      <c r="AB7" s="771" t="e">
        <f>D7/H7</f>
        <v>#DIV/0!</v>
      </c>
      <c r="AC7" s="771" t="e">
        <f>D7/J7</f>
        <v>#DIV/0!</v>
      </c>
    </row>
    <row r="8" spans="1:29" s="115" customFormat="1" ht="1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71" t="s">
        <v>2534</v>
      </c>
      <c r="Q8" s="3372"/>
      <c r="R8" s="768" t="s">
        <v>17</v>
      </c>
      <c r="S8" s="769">
        <f t="shared" si="0"/>
        <v>0</v>
      </c>
      <c r="T8" s="768" t="s">
        <v>17</v>
      </c>
      <c r="U8" s="769">
        <f t="shared" si="1"/>
        <v>0</v>
      </c>
      <c r="V8" s="768" t="s">
        <v>17</v>
      </c>
      <c r="W8" s="769">
        <f t="shared" si="2"/>
        <v>0</v>
      </c>
      <c r="X8" s="770"/>
      <c r="Y8" s="3371" t="s">
        <v>2534</v>
      </c>
      <c r="Z8" s="3372"/>
      <c r="AA8" s="771" t="e">
        <f t="shared" ref="AA8:AA40" si="3">D8/F8</f>
        <v>#DIV/0!</v>
      </c>
      <c r="AB8" s="771" t="e">
        <f t="shared" ref="AB8:AB40" si="4">D8/H8</f>
        <v>#DIV/0!</v>
      </c>
      <c r="AC8" s="771" t="e">
        <f t="shared" ref="AC8:AC40" si="5">D8/J8</f>
        <v>#DIV/0!</v>
      </c>
    </row>
    <row r="9" spans="1:29" s="115" customFormat="1" ht="14.4">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42" t="s">
        <v>2537</v>
      </c>
      <c r="Q9" s="1789" t="str">
        <f t="shared" ref="Q9:Q15" si="6">B9</f>
        <v>用途</v>
      </c>
      <c r="R9" s="768" t="s">
        <v>17</v>
      </c>
      <c r="S9" s="769">
        <f t="shared" si="0"/>
        <v>100</v>
      </c>
      <c r="T9" s="768" t="s">
        <v>17</v>
      </c>
      <c r="U9" s="769">
        <f t="shared" si="1"/>
        <v>100</v>
      </c>
      <c r="V9" s="768" t="s">
        <v>17</v>
      </c>
      <c r="W9" s="769">
        <f t="shared" si="2"/>
        <v>100</v>
      </c>
      <c r="X9" s="770"/>
      <c r="Y9" s="3170" t="s">
        <v>2538</v>
      </c>
      <c r="Z9" s="55" t="str">
        <f t="shared" ref="Z9:Z15" si="7">Q9</f>
        <v>用途</v>
      </c>
      <c r="AA9" s="771">
        <f t="shared" si="3"/>
        <v>1</v>
      </c>
      <c r="AB9" s="771">
        <f t="shared" si="4"/>
        <v>1</v>
      </c>
      <c r="AC9" s="771">
        <f t="shared" si="5"/>
        <v>1</v>
      </c>
    </row>
    <row r="10" spans="1:29" s="425" customFormat="1" ht="28.8">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42"/>
      <c r="Q10" s="1789" t="str">
        <f t="shared" si="6"/>
        <v>土地使用年限（年）</v>
      </c>
      <c r="R10" s="768" t="s">
        <v>17</v>
      </c>
      <c r="S10" s="769">
        <f t="shared" si="0"/>
        <v>100</v>
      </c>
      <c r="T10" s="768" t="s">
        <v>17</v>
      </c>
      <c r="U10" s="769">
        <f t="shared" si="1"/>
        <v>100</v>
      </c>
      <c r="V10" s="768" t="s">
        <v>17</v>
      </c>
      <c r="W10" s="769">
        <f t="shared" si="2"/>
        <v>100</v>
      </c>
      <c r="X10" s="770"/>
      <c r="Y10" s="3170"/>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42"/>
      <c r="Q11" s="1789" t="str">
        <f t="shared" si="6"/>
        <v>容积率</v>
      </c>
      <c r="R11" s="768" t="s">
        <v>17</v>
      </c>
      <c r="S11" s="769" t="e">
        <f t="shared" si="0"/>
        <v>#N/A</v>
      </c>
      <c r="T11" s="768" t="s">
        <v>17</v>
      </c>
      <c r="U11" s="769" t="e">
        <f t="shared" si="1"/>
        <v>#N/A</v>
      </c>
      <c r="V11" s="768" t="s">
        <v>17</v>
      </c>
      <c r="W11" s="769" t="e">
        <f t="shared" si="2"/>
        <v>#N/A</v>
      </c>
      <c r="X11" s="770"/>
      <c r="Y11" s="3170"/>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42"/>
      <c r="Q12" s="1789">
        <f t="shared" si="6"/>
        <v>111</v>
      </c>
      <c r="R12" s="768" t="s">
        <v>17</v>
      </c>
      <c r="S12" s="769">
        <f t="shared" si="0"/>
        <v>100</v>
      </c>
      <c r="T12" s="768" t="s">
        <v>17</v>
      </c>
      <c r="U12" s="769">
        <f t="shared" si="1"/>
        <v>100</v>
      </c>
      <c r="V12" s="768" t="s">
        <v>17</v>
      </c>
      <c r="W12" s="769">
        <f t="shared" si="2"/>
        <v>100</v>
      </c>
      <c r="X12" s="770"/>
      <c r="Y12" s="3170"/>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42"/>
      <c r="Q13" s="1789">
        <f t="shared" si="6"/>
        <v>111</v>
      </c>
      <c r="R13" s="768" t="s">
        <v>17</v>
      </c>
      <c r="S13" s="769">
        <f t="shared" si="0"/>
        <v>100</v>
      </c>
      <c r="T13" s="768" t="s">
        <v>17</v>
      </c>
      <c r="U13" s="769">
        <f t="shared" si="1"/>
        <v>100</v>
      </c>
      <c r="V13" s="768" t="s">
        <v>17</v>
      </c>
      <c r="W13" s="769">
        <f t="shared" si="2"/>
        <v>100</v>
      </c>
      <c r="X13" s="770"/>
      <c r="Y13" s="3170"/>
      <c r="Z13" s="55">
        <f t="shared" si="7"/>
        <v>111</v>
      </c>
      <c r="AA13" s="771">
        <f t="shared" si="3"/>
        <v>1</v>
      </c>
      <c r="AB13" s="771">
        <f t="shared" si="4"/>
        <v>1</v>
      </c>
      <c r="AC13" s="771">
        <f t="shared" si="5"/>
        <v>1</v>
      </c>
    </row>
    <row r="14" spans="1:29" ht="15.6"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42"/>
      <c r="Q14" s="1789">
        <f t="shared" si="6"/>
        <v>111</v>
      </c>
      <c r="R14" s="768" t="s">
        <v>17</v>
      </c>
      <c r="S14" s="769">
        <f t="shared" si="0"/>
        <v>100</v>
      </c>
      <c r="T14" s="768" t="s">
        <v>17</v>
      </c>
      <c r="U14" s="769">
        <f t="shared" si="1"/>
        <v>100</v>
      </c>
      <c r="V14" s="768" t="s">
        <v>17</v>
      </c>
      <c r="W14" s="769">
        <f t="shared" si="2"/>
        <v>100</v>
      </c>
      <c r="X14" s="770"/>
      <c r="Y14" s="3170"/>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44" t="s">
        <v>2542</v>
      </c>
      <c r="Q15" s="1804" t="str">
        <f t="shared" si="6"/>
        <v>产业集聚程度</v>
      </c>
      <c r="R15" s="772" t="s">
        <v>17</v>
      </c>
      <c r="S15" s="773">
        <f t="shared" si="0"/>
        <v>100</v>
      </c>
      <c r="T15" s="772" t="s">
        <v>17</v>
      </c>
      <c r="U15" s="773">
        <f t="shared" si="1"/>
        <v>100</v>
      </c>
      <c r="V15" s="772" t="s">
        <v>17</v>
      </c>
      <c r="W15" s="773">
        <f t="shared" si="2"/>
        <v>100</v>
      </c>
      <c r="X15" s="1807"/>
      <c r="Y15" s="3344"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45"/>
      <c r="Q16" s="1804"/>
      <c r="R16" s="772"/>
      <c r="S16" s="773"/>
      <c r="T16" s="772"/>
      <c r="U16" s="773"/>
      <c r="V16" s="772"/>
      <c r="W16" s="773"/>
      <c r="X16" s="1807"/>
      <c r="Y16" s="3345"/>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45"/>
      <c r="Q17" s="1804" t="str">
        <f>B17</f>
        <v>交通便捷度</v>
      </c>
      <c r="R17" s="772" t="s">
        <v>17</v>
      </c>
      <c r="S17" s="773">
        <f>F17</f>
        <v>100</v>
      </c>
      <c r="T17" s="772" t="s">
        <v>17</v>
      </c>
      <c r="U17" s="773">
        <f>H17</f>
        <v>100</v>
      </c>
      <c r="V17" s="772" t="s">
        <v>17</v>
      </c>
      <c r="W17" s="773">
        <f>J17</f>
        <v>100</v>
      </c>
      <c r="X17" s="1807"/>
      <c r="Y17" s="3345"/>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45"/>
      <c r="Q18" s="1804"/>
      <c r="R18" s="772"/>
      <c r="S18" s="773"/>
      <c r="T18" s="772"/>
      <c r="U18" s="773"/>
      <c r="V18" s="772"/>
      <c r="W18" s="773"/>
      <c r="X18" s="1807"/>
      <c r="Y18" s="3345"/>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45"/>
      <c r="Q19" s="1804" t="str">
        <f>B19</f>
        <v>公共配套设施</v>
      </c>
      <c r="R19" s="772" t="s">
        <v>17</v>
      </c>
      <c r="S19" s="773">
        <f>F19</f>
        <v>100</v>
      </c>
      <c r="T19" s="772" t="s">
        <v>17</v>
      </c>
      <c r="U19" s="773">
        <f>H19</f>
        <v>100</v>
      </c>
      <c r="V19" s="772" t="s">
        <v>17</v>
      </c>
      <c r="W19" s="773">
        <f>J19</f>
        <v>100</v>
      </c>
      <c r="X19" s="1807"/>
      <c r="Y19" s="3345"/>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45"/>
      <c r="Q20" s="1804"/>
      <c r="R20" s="772"/>
      <c r="S20" s="773"/>
      <c r="T20" s="772"/>
      <c r="U20" s="773"/>
      <c r="V20" s="772"/>
      <c r="W20" s="773"/>
      <c r="X20" s="1807"/>
      <c r="Y20" s="3345"/>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45"/>
      <c r="Q21" s="1804" t="str">
        <f>B21</f>
        <v>基础设施水平</v>
      </c>
      <c r="R21" s="772" t="s">
        <v>17</v>
      </c>
      <c r="S21" s="773">
        <f>F21</f>
        <v>100</v>
      </c>
      <c r="T21" s="772" t="s">
        <v>17</v>
      </c>
      <c r="U21" s="773">
        <f>H21</f>
        <v>100</v>
      </c>
      <c r="V21" s="772" t="s">
        <v>17</v>
      </c>
      <c r="W21" s="773">
        <f>J21</f>
        <v>100</v>
      </c>
      <c r="X21" s="1807"/>
      <c r="Y21" s="3345"/>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45"/>
      <c r="Q22" s="1804"/>
      <c r="R22" s="772"/>
      <c r="S22" s="773"/>
      <c r="T22" s="772"/>
      <c r="U22" s="773"/>
      <c r="V22" s="772"/>
      <c r="W22" s="773"/>
      <c r="X22" s="1807"/>
      <c r="Y22" s="3345"/>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45"/>
      <c r="Q23" s="1804" t="str">
        <f>B23</f>
        <v>环境质量</v>
      </c>
      <c r="R23" s="772" t="s">
        <v>17</v>
      </c>
      <c r="S23" s="773">
        <f>F23</f>
        <v>100</v>
      </c>
      <c r="T23" s="772" t="s">
        <v>17</v>
      </c>
      <c r="U23" s="773">
        <f>H23</f>
        <v>100</v>
      </c>
      <c r="V23" s="772" t="s">
        <v>17</v>
      </c>
      <c r="W23" s="773">
        <f>J23</f>
        <v>100</v>
      </c>
      <c r="X23" s="1807"/>
      <c r="Y23" s="3345"/>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45"/>
      <c r="Q24" s="1804"/>
      <c r="R24" s="772"/>
      <c r="S24" s="773"/>
      <c r="T24" s="772"/>
      <c r="U24" s="773"/>
      <c r="V24" s="772"/>
      <c r="W24" s="773"/>
      <c r="X24" s="1807"/>
      <c r="Y24" s="3345"/>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45"/>
      <c r="Q25" s="1804">
        <f>B25</f>
        <v>111</v>
      </c>
      <c r="R25" s="772" t="s">
        <v>17</v>
      </c>
      <c r="S25" s="773">
        <f>F25</f>
        <v>100</v>
      </c>
      <c r="T25" s="772" t="s">
        <v>17</v>
      </c>
      <c r="U25" s="773">
        <f>H25</f>
        <v>100</v>
      </c>
      <c r="V25" s="772" t="s">
        <v>17</v>
      </c>
      <c r="W25" s="773">
        <f>J25</f>
        <v>100</v>
      </c>
      <c r="X25" s="1807"/>
      <c r="Y25" s="3345"/>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45"/>
      <c r="Q26" s="1804">
        <f t="shared" ref="Q26:Q40" si="11">B26</f>
        <v>111</v>
      </c>
      <c r="R26" s="772" t="s">
        <v>17</v>
      </c>
      <c r="S26" s="773">
        <f>F26</f>
        <v>100</v>
      </c>
      <c r="T26" s="772" t="s">
        <v>17</v>
      </c>
      <c r="U26" s="773">
        <f>H26</f>
        <v>100</v>
      </c>
      <c r="V26" s="772" t="s">
        <v>17</v>
      </c>
      <c r="W26" s="773">
        <f>J26</f>
        <v>100</v>
      </c>
      <c r="X26" s="1807"/>
      <c r="Y26" s="3345"/>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45"/>
      <c r="Q27" s="1789">
        <f t="shared" si="11"/>
        <v>111</v>
      </c>
      <c r="R27" s="768" t="s">
        <v>17</v>
      </c>
      <c r="S27" s="769">
        <f>F27</f>
        <v>100</v>
      </c>
      <c r="T27" s="768" t="s">
        <v>17</v>
      </c>
      <c r="U27" s="769">
        <f>H27</f>
        <v>100</v>
      </c>
      <c r="V27" s="768" t="s">
        <v>17</v>
      </c>
      <c r="W27" s="769">
        <f>J27</f>
        <v>100</v>
      </c>
      <c r="X27" s="770"/>
      <c r="Y27" s="3345"/>
      <c r="Z27" s="55">
        <f>Q27</f>
        <v>111</v>
      </c>
      <c r="AA27" s="1805">
        <f>D27/F27</f>
        <v>1</v>
      </c>
      <c r="AB27" s="1805">
        <f>D27/H27</f>
        <v>1</v>
      </c>
      <c r="AC27" s="1805">
        <f>D27/J27</f>
        <v>1</v>
      </c>
    </row>
    <row r="28" spans="1:29" ht="15.6"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45"/>
      <c r="Q28" s="1804">
        <f t="shared" si="11"/>
        <v>111</v>
      </c>
      <c r="R28" s="772" t="s">
        <v>17</v>
      </c>
      <c r="S28" s="773">
        <f t="shared" ref="S28:S40" si="12">F28</f>
        <v>100</v>
      </c>
      <c r="T28" s="772" t="s">
        <v>17</v>
      </c>
      <c r="U28" s="773">
        <f t="shared" ref="U28:U40" si="13">H28</f>
        <v>100</v>
      </c>
      <c r="V28" s="772" t="s">
        <v>17</v>
      </c>
      <c r="W28" s="773">
        <f t="shared" ref="W28:W40" si="14">J28</f>
        <v>100</v>
      </c>
      <c r="X28" s="1807"/>
      <c r="Y28" s="3345"/>
      <c r="Z28" s="1808">
        <f t="shared" ref="Z28:Z40" si="15">Q28</f>
        <v>111</v>
      </c>
      <c r="AA28" s="1805">
        <f t="shared" si="3"/>
        <v>1</v>
      </c>
      <c r="AB28" s="1805">
        <f t="shared" si="4"/>
        <v>1</v>
      </c>
      <c r="AC28" s="1805">
        <f t="shared" si="5"/>
        <v>1</v>
      </c>
    </row>
    <row r="29" spans="1:29" ht="30">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46" t="s">
        <v>2547</v>
      </c>
      <c r="Q29" s="1804" t="str">
        <f t="shared" si="11"/>
        <v>建筑类型</v>
      </c>
      <c r="R29" s="772" t="s">
        <v>17</v>
      </c>
      <c r="S29" s="773">
        <f t="shared" si="12"/>
        <v>100</v>
      </c>
      <c r="T29" s="772" t="s">
        <v>17</v>
      </c>
      <c r="U29" s="773">
        <f t="shared" si="13"/>
        <v>100</v>
      </c>
      <c r="V29" s="772" t="s">
        <v>17</v>
      </c>
      <c r="W29" s="773">
        <f t="shared" si="14"/>
        <v>100</v>
      </c>
      <c r="X29" s="1807"/>
      <c r="Y29" s="3347"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47"/>
      <c r="Q30" s="774" t="str">
        <f t="shared" si="11"/>
        <v>项目建筑规模</v>
      </c>
      <c r="R30" s="775" t="s">
        <v>17</v>
      </c>
      <c r="S30" s="776" t="e">
        <f t="shared" si="12"/>
        <v>#N/A</v>
      </c>
      <c r="T30" s="775" t="s">
        <v>17</v>
      </c>
      <c r="U30" s="776" t="e">
        <f t="shared" si="13"/>
        <v>#N/A</v>
      </c>
      <c r="V30" s="775" t="s">
        <v>17</v>
      </c>
      <c r="W30" s="776" t="e">
        <f t="shared" si="14"/>
        <v>#N/A</v>
      </c>
      <c r="X30" s="777"/>
      <c r="Y30" s="3347"/>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47"/>
      <c r="Q31" s="1804" t="str">
        <f t="shared" si="11"/>
        <v>建筑结构</v>
      </c>
      <c r="R31" s="772" t="s">
        <v>17</v>
      </c>
      <c r="S31" s="773">
        <f t="shared" si="12"/>
        <v>100</v>
      </c>
      <c r="T31" s="772" t="s">
        <v>17</v>
      </c>
      <c r="U31" s="773">
        <f t="shared" si="13"/>
        <v>100</v>
      </c>
      <c r="V31" s="772" t="s">
        <v>17</v>
      </c>
      <c r="W31" s="773">
        <f t="shared" si="14"/>
        <v>100</v>
      </c>
      <c r="X31" s="1807"/>
      <c r="Y31" s="3347"/>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47"/>
      <c r="Q32" s="1804" t="str">
        <f t="shared" si="11"/>
        <v>公共部分装修</v>
      </c>
      <c r="R32" s="772" t="s">
        <v>17</v>
      </c>
      <c r="S32" s="773">
        <f t="shared" si="12"/>
        <v>100</v>
      </c>
      <c r="T32" s="772" t="s">
        <v>17</v>
      </c>
      <c r="U32" s="773">
        <f t="shared" si="13"/>
        <v>100</v>
      </c>
      <c r="V32" s="772" t="s">
        <v>17</v>
      </c>
      <c r="W32" s="773">
        <f t="shared" si="14"/>
        <v>100</v>
      </c>
      <c r="X32" s="1807"/>
      <c r="Y32" s="3347"/>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47"/>
      <c r="Q33" s="1804" t="str">
        <f t="shared" si="11"/>
        <v>成新度</v>
      </c>
      <c r="R33" s="772" t="s">
        <v>17</v>
      </c>
      <c r="S33" s="773" t="e">
        <f t="shared" si="12"/>
        <v>#N/A</v>
      </c>
      <c r="T33" s="772" t="s">
        <v>17</v>
      </c>
      <c r="U33" s="773" t="e">
        <f t="shared" si="13"/>
        <v>#N/A</v>
      </c>
      <c r="V33" s="772" t="s">
        <v>17</v>
      </c>
      <c r="W33" s="773" t="e">
        <f t="shared" si="14"/>
        <v>#N/A</v>
      </c>
      <c r="X33" s="1807"/>
      <c r="Y33" s="3347"/>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47"/>
      <c r="Q34" s="1789" t="str">
        <f t="shared" si="11"/>
        <v>物业管理</v>
      </c>
      <c r="R34" s="768" t="s">
        <v>17</v>
      </c>
      <c r="S34" s="769">
        <f t="shared" si="12"/>
        <v>100</v>
      </c>
      <c r="T34" s="768" t="s">
        <v>17</v>
      </c>
      <c r="U34" s="769">
        <f t="shared" si="13"/>
        <v>100</v>
      </c>
      <c r="V34" s="768" t="s">
        <v>17</v>
      </c>
      <c r="W34" s="769">
        <f t="shared" si="14"/>
        <v>100</v>
      </c>
      <c r="X34" s="770"/>
      <c r="Y34" s="3347"/>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47" t="s">
        <v>2547</v>
      </c>
      <c r="Q35" s="1804" t="str">
        <f t="shared" si="11"/>
        <v>市政基础设施</v>
      </c>
      <c r="R35" s="772" t="s">
        <v>17</v>
      </c>
      <c r="S35" s="773">
        <f t="shared" si="12"/>
        <v>100</v>
      </c>
      <c r="T35" s="772" t="s">
        <v>17</v>
      </c>
      <c r="U35" s="773">
        <f t="shared" si="13"/>
        <v>100</v>
      </c>
      <c r="V35" s="772" t="s">
        <v>17</v>
      </c>
      <c r="W35" s="773">
        <f t="shared" si="14"/>
        <v>100</v>
      </c>
      <c r="X35" s="1807"/>
      <c r="Y35" s="3347"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47"/>
      <c r="Q36" s="1804" t="str">
        <f t="shared" si="11"/>
        <v>内部装修</v>
      </c>
      <c r="R36" s="772" t="s">
        <v>17</v>
      </c>
      <c r="S36" s="773">
        <f t="shared" si="12"/>
        <v>100</v>
      </c>
      <c r="T36" s="772" t="s">
        <v>17</v>
      </c>
      <c r="U36" s="773">
        <f t="shared" si="13"/>
        <v>100</v>
      </c>
      <c r="V36" s="772" t="s">
        <v>17</v>
      </c>
      <c r="W36" s="773">
        <f t="shared" si="14"/>
        <v>100</v>
      </c>
      <c r="X36" s="1807"/>
      <c r="Y36" s="3347"/>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47"/>
      <c r="Q37" s="1804" t="str">
        <f t="shared" si="11"/>
        <v>内部装修状况</v>
      </c>
      <c r="R37" s="772" t="s">
        <v>17</v>
      </c>
      <c r="S37" s="773">
        <f t="shared" si="12"/>
        <v>100</v>
      </c>
      <c r="T37" s="772" t="s">
        <v>17</v>
      </c>
      <c r="U37" s="773">
        <f t="shared" si="13"/>
        <v>100</v>
      </c>
      <c r="V37" s="772" t="s">
        <v>17</v>
      </c>
      <c r="W37" s="773">
        <f t="shared" si="14"/>
        <v>100</v>
      </c>
      <c r="X37" s="1807"/>
      <c r="Y37" s="3347"/>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47"/>
      <c r="Q38" s="774">
        <f t="shared" si="11"/>
        <v>111</v>
      </c>
      <c r="R38" s="775" t="s">
        <v>17</v>
      </c>
      <c r="S38" s="776">
        <f t="shared" si="12"/>
        <v>100</v>
      </c>
      <c r="T38" s="775" t="s">
        <v>17</v>
      </c>
      <c r="U38" s="776">
        <f t="shared" si="13"/>
        <v>100</v>
      </c>
      <c r="V38" s="775" t="s">
        <v>17</v>
      </c>
      <c r="W38" s="776">
        <f t="shared" si="14"/>
        <v>100</v>
      </c>
      <c r="X38" s="777"/>
      <c r="Y38" s="3347"/>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47"/>
      <c r="Q39" s="1804">
        <f t="shared" si="11"/>
        <v>111</v>
      </c>
      <c r="R39" s="772" t="s">
        <v>17</v>
      </c>
      <c r="S39" s="773">
        <f t="shared" si="12"/>
        <v>100</v>
      </c>
      <c r="T39" s="772" t="s">
        <v>17</v>
      </c>
      <c r="U39" s="773">
        <f t="shared" si="13"/>
        <v>100</v>
      </c>
      <c r="V39" s="772" t="s">
        <v>17</v>
      </c>
      <c r="W39" s="773">
        <f t="shared" si="14"/>
        <v>100</v>
      </c>
      <c r="X39" s="1807"/>
      <c r="Y39" s="3347"/>
      <c r="Z39" s="1808">
        <f t="shared" si="15"/>
        <v>111</v>
      </c>
      <c r="AA39" s="1805">
        <f t="shared" si="3"/>
        <v>1</v>
      </c>
      <c r="AB39" s="1805">
        <f t="shared" si="4"/>
        <v>1</v>
      </c>
      <c r="AC39" s="1805">
        <f t="shared" si="5"/>
        <v>1</v>
      </c>
    </row>
    <row r="40" spans="1:29" ht="15.6"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410"/>
      <c r="Q40" s="1804">
        <f t="shared" si="11"/>
        <v>111</v>
      </c>
      <c r="R40" s="772" t="s">
        <v>17</v>
      </c>
      <c r="S40" s="773">
        <f t="shared" si="12"/>
        <v>100</v>
      </c>
      <c r="T40" s="772" t="s">
        <v>17</v>
      </c>
      <c r="U40" s="773">
        <f t="shared" si="13"/>
        <v>100</v>
      </c>
      <c r="V40" s="772" t="s">
        <v>17</v>
      </c>
      <c r="W40" s="773">
        <f t="shared" si="14"/>
        <v>100</v>
      </c>
      <c r="X40" s="1807"/>
      <c r="Y40" s="3410"/>
      <c r="Z40" s="1808">
        <f t="shared" si="15"/>
        <v>111</v>
      </c>
      <c r="AA40" s="1805">
        <f t="shared" si="3"/>
        <v>1</v>
      </c>
      <c r="AB40" s="1805">
        <f t="shared" si="4"/>
        <v>1</v>
      </c>
      <c r="AC40" s="1805">
        <f t="shared" si="5"/>
        <v>1</v>
      </c>
    </row>
    <row r="41" spans="1:29" ht="14.4">
      <c r="A41" s="477" t="s">
        <v>2559</v>
      </c>
      <c r="B41" s="478"/>
      <c r="C41" s="1403" t="s">
        <v>1</v>
      </c>
      <c r="D41" s="1404"/>
      <c r="E41" s="1405"/>
      <c r="F41" s="1406"/>
      <c r="G41" s="1407"/>
      <c r="H41" s="1408"/>
      <c r="I41" s="1405"/>
      <c r="J41" s="1408"/>
      <c r="K41" s="781"/>
      <c r="L41" s="1139"/>
      <c r="M41" s="1140"/>
      <c r="N41" s="1127"/>
      <c r="O41" s="1140"/>
      <c r="P41" s="3342" t="str">
        <f>A41</f>
        <v>成交单价（元/平方米）</v>
      </c>
      <c r="Q41" s="3342"/>
      <c r="R41" s="3383">
        <f>E41</f>
        <v>0</v>
      </c>
      <c r="S41" s="3383"/>
      <c r="T41" s="3383">
        <f>G41</f>
        <v>0</v>
      </c>
      <c r="U41" s="3383"/>
      <c r="V41" s="3383">
        <f>I41</f>
        <v>0</v>
      </c>
      <c r="W41" s="3383"/>
      <c r="X41" s="757"/>
      <c r="Y41" s="779"/>
      <c r="Z41" s="757"/>
      <c r="AA41" s="757"/>
      <c r="AB41" s="757"/>
      <c r="AC41" s="757"/>
    </row>
    <row r="42" spans="1:29" ht="1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42" t="str">
        <f>A42</f>
        <v>比较价值（元/平方米）</v>
      </c>
      <c r="Q42" s="334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757"/>
      <c r="Y42" s="757"/>
      <c r="Z42" s="757"/>
      <c r="AA42" s="757"/>
      <c r="AB42" s="757"/>
      <c r="AC42" s="757"/>
    </row>
    <row r="43" spans="1:29" ht="15" thickBot="1">
      <c r="A43" s="490" t="s">
        <v>2652</v>
      </c>
      <c r="B43" s="491"/>
      <c r="C43" s="1413" t="e">
        <f>R43</f>
        <v>#DIV/0!</v>
      </c>
      <c r="D43" s="1413"/>
      <c r="E43" s="1413"/>
      <c r="F43" s="1413"/>
      <c r="G43" s="1413"/>
      <c r="H43" s="1413"/>
      <c r="I43" s="1413"/>
      <c r="J43" s="1413"/>
      <c r="K43" s="783"/>
      <c r="L43" s="1139"/>
      <c r="M43" s="1140"/>
      <c r="N43" s="1140"/>
      <c r="O43" s="1140"/>
      <c r="P43" s="3336" t="str">
        <f>A43</f>
        <v>估价对象XX用房的比较价值（楼面单价，元/平方米）</v>
      </c>
      <c r="Q43" s="3337"/>
      <c r="R43" s="3384" t="e">
        <f>IF(F1="售价",ROUND(AVERAGE(R42:V42),0),ROUND(AVERAGE(R42:V42),1))</f>
        <v>#DIV/0!</v>
      </c>
      <c r="S43" s="3384"/>
      <c r="T43" s="3384"/>
      <c r="U43" s="3384"/>
      <c r="V43" s="3384"/>
      <c r="W43" s="3384"/>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1" t="s">
        <v>2656</v>
      </c>
      <c r="B51" s="757"/>
      <c r="C51" s="762"/>
      <c r="D51" s="762"/>
      <c r="E51" s="762"/>
      <c r="F51" s="763"/>
      <c r="G51" s="763"/>
      <c r="H51" s="762"/>
      <c r="I51" s="762"/>
      <c r="J51" s="762"/>
      <c r="K51" s="1156"/>
      <c r="L51" s="1157"/>
      <c r="M51" s="1155"/>
      <c r="N51" s="1155"/>
      <c r="O51" s="1155"/>
      <c r="P51" s="501"/>
      <c r="Q51" s="502"/>
    </row>
    <row r="52" spans="1:17" s="506" customFormat="1" ht="14.4">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c r="A53" s="507"/>
      <c r="B53" s="508"/>
      <c r="C53" s="1567">
        <v>100</v>
      </c>
      <c r="D53" s="510"/>
      <c r="E53" s="510"/>
      <c r="F53" s="510"/>
      <c r="G53" s="510"/>
      <c r="H53" s="510"/>
      <c r="I53" s="510"/>
      <c r="J53" s="510"/>
      <c r="K53" s="510"/>
      <c r="L53" s="510"/>
      <c r="M53" s="511"/>
      <c r="N53" s="510"/>
      <c r="O53" s="512"/>
      <c r="P53" s="502"/>
    </row>
    <row r="54" spans="1:17" s="115" customFormat="1" ht="15" thickBot="1">
      <c r="A54" s="513" t="s">
        <v>2567</v>
      </c>
      <c r="B54" s="514"/>
      <c r="C54" s="515"/>
      <c r="D54" s="516"/>
      <c r="E54" s="516"/>
      <c r="F54" s="516"/>
      <c r="G54" s="516"/>
      <c r="H54" s="516"/>
      <c r="I54" s="516"/>
      <c r="J54" s="516"/>
      <c r="K54" s="516"/>
      <c r="L54" s="516"/>
      <c r="M54" s="517"/>
      <c r="N54" s="516"/>
      <c r="O54" s="518"/>
      <c r="P54" s="502"/>
      <c r="Q54" s="502"/>
    </row>
    <row r="55" spans="1:17" s="115" customFormat="1" ht="14.4">
      <c r="A55" s="519" t="s">
        <v>2532</v>
      </c>
      <c r="B55" s="508"/>
      <c r="C55" s="520" t="s">
        <v>2634</v>
      </c>
      <c r="D55" s="521"/>
      <c r="E55" s="521"/>
      <c r="F55" s="521"/>
      <c r="G55" s="521"/>
      <c r="H55" s="521"/>
      <c r="I55" s="521"/>
      <c r="J55" s="521"/>
      <c r="K55" s="521"/>
      <c r="L55" s="522"/>
      <c r="M55" s="523"/>
      <c r="N55" s="1147"/>
      <c r="O55" s="1147"/>
      <c r="P55" s="524"/>
      <c r="Q55" s="502"/>
    </row>
    <row r="56" spans="1:17" s="115" customFormat="1" ht="14.4" thickBot="1">
      <c r="A56" s="519"/>
      <c r="B56" s="508"/>
      <c r="C56" s="637">
        <v>100</v>
      </c>
      <c r="D56" s="510"/>
      <c r="E56" s="510"/>
      <c r="F56" s="510"/>
      <c r="G56" s="510"/>
      <c r="H56" s="510"/>
      <c r="I56" s="510"/>
      <c r="J56" s="510"/>
      <c r="K56" s="510"/>
      <c r="L56" s="510"/>
      <c r="M56" s="512"/>
      <c r="N56" s="1147"/>
      <c r="O56" s="1147"/>
      <c r="P56" s="502"/>
      <c r="Q56" s="502"/>
    </row>
    <row r="57" spans="1:17" ht="14.4">
      <c r="A57" s="525" t="s">
        <v>2570</v>
      </c>
      <c r="B57" s="526" t="s">
        <v>2536</v>
      </c>
      <c r="C57" s="527">
        <f>C9</f>
        <v>0</v>
      </c>
      <c r="D57" s="528"/>
      <c r="E57" s="528"/>
      <c r="F57" s="528"/>
      <c r="G57" s="528"/>
      <c r="H57" s="528"/>
      <c r="I57" s="528"/>
      <c r="J57" s="528"/>
      <c r="K57" s="529"/>
      <c r="L57" s="530"/>
      <c r="M57" s="531"/>
      <c r="N57" s="1148"/>
      <c r="O57" s="1148"/>
      <c r="P57" s="45"/>
      <c r="Q57" s="502"/>
    </row>
    <row r="58" spans="1:17" ht="14.4" thickBot="1">
      <c r="A58" s="532"/>
      <c r="B58" s="533"/>
      <c r="C58" s="534">
        <v>100</v>
      </c>
      <c r="D58" s="534"/>
      <c r="E58" s="534"/>
      <c r="F58" s="534"/>
      <c r="G58" s="534"/>
      <c r="H58" s="534"/>
      <c r="I58" s="534"/>
      <c r="J58" s="534"/>
      <c r="K58" s="534"/>
      <c r="L58" s="534"/>
      <c r="M58" s="535"/>
      <c r="N58" s="1149"/>
      <c r="O58" s="1149"/>
      <c r="P58" s="45"/>
      <c r="Q58" s="502"/>
    </row>
    <row r="59" spans="1:17" ht="29.4"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c r="A62" s="532"/>
      <c r="B62" s="546"/>
      <c r="C62" s="547"/>
      <c r="D62" s="547"/>
      <c r="E62" s="547"/>
      <c r="F62" s="547"/>
      <c r="G62" s="547"/>
      <c r="H62" s="547"/>
      <c r="I62" s="547"/>
      <c r="J62" s="547"/>
      <c r="K62" s="548"/>
      <c r="L62" s="549"/>
      <c r="M62" s="550"/>
      <c r="N62" s="1148"/>
      <c r="O62" s="1148"/>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4.4" thickTop="1">
      <c r="A64" s="551"/>
      <c r="B64" s="536">
        <f>B12</f>
        <v>111</v>
      </c>
      <c r="C64" s="552"/>
      <c r="D64" s="552"/>
      <c r="E64" s="552"/>
      <c r="F64" s="552"/>
      <c r="G64" s="552"/>
      <c r="H64" s="553"/>
      <c r="I64" s="553"/>
      <c r="J64" s="553"/>
      <c r="K64" s="553"/>
      <c r="L64" s="554"/>
      <c r="M64" s="555"/>
      <c r="N64" s="1150"/>
      <c r="O64" s="1150"/>
      <c r="P64" s="556"/>
      <c r="Q64" s="557"/>
    </row>
    <row r="65" spans="1:17" s="469" customFormat="1" ht="14.4" thickBot="1">
      <c r="A65" s="551"/>
      <c r="B65" s="541"/>
      <c r="C65" s="558"/>
      <c r="D65" s="534"/>
      <c r="E65" s="534"/>
      <c r="F65" s="534"/>
      <c r="G65" s="534"/>
      <c r="H65" s="534"/>
      <c r="I65" s="534"/>
      <c r="J65" s="534"/>
      <c r="K65" s="534"/>
      <c r="L65" s="534"/>
      <c r="M65" s="535"/>
      <c r="N65" s="1149"/>
      <c r="O65" s="1149"/>
      <c r="P65" s="556"/>
      <c r="Q65" s="557"/>
    </row>
    <row r="66" spans="1:17" s="469" customFormat="1" ht="14.4" thickTop="1">
      <c r="A66" s="551"/>
      <c r="B66" s="536">
        <f>B13</f>
        <v>111</v>
      </c>
      <c r="C66" s="552"/>
      <c r="D66" s="552"/>
      <c r="E66" s="552"/>
      <c r="F66" s="552"/>
      <c r="G66" s="552"/>
      <c r="H66" s="553"/>
      <c r="I66" s="553"/>
      <c r="J66" s="553"/>
      <c r="K66" s="553"/>
      <c r="L66" s="554"/>
      <c r="M66" s="555"/>
      <c r="N66" s="1150"/>
      <c r="O66" s="1150"/>
      <c r="P66" s="468"/>
      <c r="Q66" s="559"/>
    </row>
    <row r="67" spans="1:17" s="469" customFormat="1" ht="14.4" thickBot="1">
      <c r="A67" s="551"/>
      <c r="B67" s="541"/>
      <c r="C67" s="558"/>
      <c r="D67" s="534"/>
      <c r="E67" s="534"/>
      <c r="F67" s="534"/>
      <c r="G67" s="558"/>
      <c r="H67" s="560"/>
      <c r="I67" s="560"/>
      <c r="J67" s="560"/>
      <c r="K67" s="560"/>
      <c r="L67" s="560"/>
      <c r="M67" s="561"/>
      <c r="N67" s="1150"/>
      <c r="O67" s="1150"/>
      <c r="P67" s="556"/>
      <c r="Q67" s="557"/>
    </row>
    <row r="68" spans="1:17" s="469" customFormat="1" ht="14.4" thickTop="1">
      <c r="A68" s="551"/>
      <c r="B68" s="544">
        <f>B14</f>
        <v>111</v>
      </c>
      <c r="C68" s="521"/>
      <c r="D68" s="521"/>
      <c r="E68" s="521"/>
      <c r="F68" s="521"/>
      <c r="G68" s="521"/>
      <c r="H68" s="562"/>
      <c r="I68" s="562"/>
      <c r="J68" s="562"/>
      <c r="K68" s="562"/>
      <c r="L68" s="563"/>
      <c r="M68" s="564"/>
      <c r="N68" s="1150"/>
      <c r="O68" s="1150"/>
      <c r="P68" s="565"/>
      <c r="Q68" s="557"/>
    </row>
    <row r="69" spans="1:17" s="469" customFormat="1" ht="14.4" thickBot="1">
      <c r="A69" s="566"/>
      <c r="B69" s="567"/>
      <c r="C69" s="568"/>
      <c r="D69" s="568"/>
      <c r="E69" s="568"/>
      <c r="F69" s="568"/>
      <c r="G69" s="568"/>
      <c r="H69" s="569"/>
      <c r="I69" s="569"/>
      <c r="J69" s="569"/>
      <c r="K69" s="569"/>
      <c r="L69" s="569"/>
      <c r="M69" s="570"/>
      <c r="N69" s="1150"/>
      <c r="O69" s="1150"/>
      <c r="P69" s="556"/>
      <c r="Q69" s="557"/>
    </row>
    <row r="70" spans="1:17" ht="14.4">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4.4" thickTop="1">
      <c r="A80" s="577"/>
      <c r="B80" s="536">
        <f>B25</f>
        <v>111</v>
      </c>
      <c r="C80" s="552"/>
      <c r="D80" s="552"/>
      <c r="E80" s="552"/>
      <c r="F80" s="552"/>
      <c r="G80" s="552"/>
      <c r="H80" s="552"/>
      <c r="I80" s="552"/>
      <c r="J80" s="552"/>
      <c r="K80" s="552"/>
      <c r="L80" s="578"/>
      <c r="M80" s="579"/>
      <c r="N80" s="1147"/>
      <c r="O80" s="1147"/>
      <c r="P80" s="45"/>
      <c r="Q80" s="502"/>
    </row>
    <row r="81" spans="1:17" s="115" customFormat="1" ht="14.4" thickBot="1">
      <c r="A81" s="577"/>
      <c r="B81" s="541"/>
      <c r="C81" s="558"/>
      <c r="D81" s="534"/>
      <c r="E81" s="534"/>
      <c r="F81" s="534"/>
      <c r="G81" s="534"/>
      <c r="H81" s="534"/>
      <c r="I81" s="534"/>
      <c r="J81" s="534"/>
      <c r="K81" s="534"/>
      <c r="L81" s="534"/>
      <c r="M81" s="535"/>
      <c r="N81" s="1149"/>
      <c r="O81" s="1149"/>
      <c r="P81" s="45"/>
      <c r="Q81" s="502"/>
    </row>
    <row r="82" spans="1:17" s="115" customFormat="1" ht="14.4" thickTop="1">
      <c r="A82" s="577"/>
      <c r="B82" s="536">
        <f>B26</f>
        <v>111</v>
      </c>
      <c r="C82" s="552"/>
      <c r="D82" s="552"/>
      <c r="E82" s="552"/>
      <c r="F82" s="552"/>
      <c r="G82" s="552"/>
      <c r="H82" s="552"/>
      <c r="I82" s="552"/>
      <c r="J82" s="552"/>
      <c r="K82" s="552"/>
      <c r="L82" s="578"/>
      <c r="M82" s="579"/>
      <c r="N82" s="1147"/>
      <c r="O82" s="1147"/>
      <c r="P82" s="45"/>
      <c r="Q82" s="502"/>
    </row>
    <row r="83" spans="1:17" s="115" customFormat="1" ht="14.4" thickBot="1">
      <c r="A83" s="577"/>
      <c r="B83" s="541"/>
      <c r="C83" s="558"/>
      <c r="D83" s="534"/>
      <c r="E83" s="534"/>
      <c r="F83" s="534"/>
      <c r="G83" s="534"/>
      <c r="H83" s="534"/>
      <c r="I83" s="534"/>
      <c r="J83" s="534"/>
      <c r="K83" s="534"/>
      <c r="L83" s="534"/>
      <c r="M83" s="535"/>
      <c r="N83" s="1149"/>
      <c r="O83" s="1149"/>
      <c r="P83" s="45"/>
      <c r="Q83" s="502"/>
    </row>
    <row r="84" spans="1:17" s="469" customFormat="1" ht="14.4" thickTop="1">
      <c r="A84" s="551"/>
      <c r="B84" s="536">
        <f>B27</f>
        <v>111</v>
      </c>
      <c r="C84" s="552"/>
      <c r="D84" s="552"/>
      <c r="E84" s="552"/>
      <c r="F84" s="552"/>
      <c r="G84" s="552"/>
      <c r="H84" s="552"/>
      <c r="I84" s="552"/>
      <c r="J84" s="552"/>
      <c r="K84" s="552"/>
      <c r="L84" s="578"/>
      <c r="M84" s="579"/>
      <c r="N84" s="1150"/>
      <c r="O84" s="1150"/>
      <c r="P84" s="556"/>
      <c r="Q84" s="557"/>
    </row>
    <row r="85" spans="1:17" s="469" customFormat="1" ht="14.4" thickBot="1">
      <c r="A85" s="551"/>
      <c r="B85" s="541"/>
      <c r="C85" s="558"/>
      <c r="D85" s="534"/>
      <c r="E85" s="534"/>
      <c r="F85" s="534"/>
      <c r="G85" s="534"/>
      <c r="H85" s="534"/>
      <c r="I85" s="534"/>
      <c r="J85" s="534"/>
      <c r="K85" s="534"/>
      <c r="L85" s="534"/>
      <c r="M85" s="535"/>
      <c r="N85" s="1150"/>
      <c r="O85" s="1150"/>
      <c r="P85" s="556"/>
      <c r="Q85" s="557"/>
    </row>
    <row r="86" spans="1:17" ht="14.4" thickTop="1">
      <c r="A86" s="532"/>
      <c r="B86" s="544">
        <f>B28</f>
        <v>111</v>
      </c>
      <c r="C86" s="521"/>
      <c r="D86" s="521"/>
      <c r="E86" s="521"/>
      <c r="F86" s="521"/>
      <c r="G86" s="585"/>
      <c r="H86" s="585"/>
      <c r="I86" s="585"/>
      <c r="J86" s="585"/>
      <c r="K86" s="586"/>
      <c r="L86" s="587"/>
      <c r="M86" s="588"/>
      <c r="N86" s="1148"/>
      <c r="O86" s="1148"/>
      <c r="P86" s="45"/>
      <c r="Q86" s="502"/>
    </row>
    <row r="87" spans="1:17" ht="14.4" thickBot="1">
      <c r="A87" s="2620"/>
      <c r="B87" s="567"/>
      <c r="C87" s="568"/>
      <c r="D87" s="568"/>
      <c r="E87" s="568"/>
      <c r="F87" s="568"/>
      <c r="G87" s="589"/>
      <c r="H87" s="589"/>
      <c r="I87" s="589"/>
      <c r="J87" s="589"/>
      <c r="K87" s="589"/>
      <c r="L87" s="589"/>
      <c r="M87" s="590"/>
      <c r="N87" s="1149"/>
      <c r="O87" s="1149"/>
      <c r="P87" s="45"/>
      <c r="Q87" s="502"/>
    </row>
    <row r="88" spans="1:17" ht="14.4">
      <c r="A88" s="525" t="s">
        <v>2545</v>
      </c>
      <c r="B88" s="526" t="s">
        <v>2594</v>
      </c>
      <c r="C88" s="528"/>
      <c r="D88" s="528"/>
      <c r="E88" s="528"/>
      <c r="F88" s="528"/>
      <c r="G88" s="528"/>
      <c r="H88" s="528"/>
      <c r="I88" s="528"/>
      <c r="J88" s="528"/>
      <c r="K88" s="529"/>
      <c r="L88" s="530"/>
      <c r="M88" s="531"/>
      <c r="N88" s="1148"/>
      <c r="O88" s="1148"/>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4.4"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29.4"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4.4"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4.4" thickBot="1">
      <c r="A109" s="551"/>
      <c r="B109" s="533"/>
      <c r="C109" s="558"/>
      <c r="D109" s="534"/>
      <c r="E109" s="534"/>
      <c r="F109" s="534"/>
      <c r="G109" s="558"/>
      <c r="H109" s="560"/>
      <c r="I109" s="560"/>
      <c r="J109" s="560"/>
      <c r="K109" s="560"/>
      <c r="L109" s="560"/>
      <c r="M109" s="561"/>
      <c r="N109" s="1150"/>
      <c r="O109" s="1150"/>
      <c r="P109" s="556"/>
      <c r="Q109" s="557"/>
    </row>
    <row r="110" spans="1:17" ht="14.4" thickTop="1">
      <c r="A110" s="597"/>
      <c r="B110" s="536">
        <f>B39</f>
        <v>111</v>
      </c>
      <c r="C110" s="552"/>
      <c r="D110" s="552"/>
      <c r="E110" s="552"/>
      <c r="F110" s="552"/>
      <c r="G110" s="552"/>
      <c r="H110" s="553"/>
      <c r="I110" s="553"/>
      <c r="J110" s="553"/>
      <c r="K110" s="553"/>
      <c r="L110" s="554"/>
      <c r="M110" s="555"/>
      <c r="N110" s="1148"/>
      <c r="O110" s="1148"/>
      <c r="P110" s="45"/>
      <c r="Q110" s="502"/>
    </row>
    <row r="111" spans="1:17" ht="14.4" thickBot="1">
      <c r="A111" s="532"/>
      <c r="B111" s="541"/>
      <c r="C111" s="558"/>
      <c r="D111" s="534"/>
      <c r="E111" s="534"/>
      <c r="F111" s="534"/>
      <c r="G111" s="558"/>
      <c r="H111" s="560"/>
      <c r="I111" s="560"/>
      <c r="J111" s="560"/>
      <c r="K111" s="560"/>
      <c r="L111" s="560"/>
      <c r="M111" s="561"/>
      <c r="N111" s="1149"/>
      <c r="O111" s="1149"/>
      <c r="P111" s="45"/>
      <c r="Q111" s="502"/>
    </row>
    <row r="112" spans="1:17" ht="14.4" thickTop="1">
      <c r="A112" s="597"/>
      <c r="B112" s="544">
        <f>B40</f>
        <v>111</v>
      </c>
      <c r="C112" s="521"/>
      <c r="D112" s="521"/>
      <c r="E112" s="521"/>
      <c r="F112" s="521"/>
      <c r="G112" s="585"/>
      <c r="H112" s="585"/>
      <c r="I112" s="585"/>
      <c r="J112" s="585"/>
      <c r="K112" s="521"/>
      <c r="L112" s="522"/>
      <c r="M112" s="588"/>
      <c r="N112" s="1148"/>
      <c r="O112" s="1148"/>
      <c r="P112" s="45"/>
      <c r="Q112" s="502"/>
    </row>
    <row r="113" spans="1:17" ht="14.4"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4.4">
      <c r="A4" s="399" t="s">
        <v>2627</v>
      </c>
      <c r="B4" s="400"/>
      <c r="C4" s="3339" t="s">
        <v>2628</v>
      </c>
      <c r="D4" s="3352"/>
      <c r="E4" s="3353" t="s">
        <v>2629</v>
      </c>
      <c r="F4" s="3354"/>
      <c r="G4" s="3339" t="s">
        <v>2630</v>
      </c>
      <c r="H4" s="3352"/>
      <c r="I4" s="3339" t="s">
        <v>2631</v>
      </c>
      <c r="J4" s="3352"/>
      <c r="K4" s="608" t="s">
        <v>2632</v>
      </c>
      <c r="L4" s="1126"/>
      <c r="M4" s="1127"/>
      <c r="N4" s="1127"/>
      <c r="O4" s="1127"/>
      <c r="P4" s="3355" t="s">
        <v>2633</v>
      </c>
      <c r="Q4" s="3356"/>
      <c r="R4" s="3361" t="s">
        <v>2629</v>
      </c>
      <c r="S4" s="3362"/>
      <c r="T4" s="3361" t="s">
        <v>2630</v>
      </c>
      <c r="U4" s="3362"/>
      <c r="V4" s="3348" t="s">
        <v>2631</v>
      </c>
      <c r="W4" s="3348"/>
      <c r="X4" s="1807"/>
      <c r="Y4" s="3361" t="s">
        <v>2633</v>
      </c>
      <c r="Z4" s="3362"/>
      <c r="AA4" s="3349" t="s">
        <v>2629</v>
      </c>
      <c r="AB4" s="3350" t="s">
        <v>2630</v>
      </c>
      <c r="AC4" s="3349" t="s">
        <v>2631</v>
      </c>
    </row>
    <row r="5" spans="1:29">
      <c r="A5" s="402"/>
      <c r="B5" s="403"/>
      <c r="C5" s="3369" t="s">
        <v>2524</v>
      </c>
      <c r="D5" s="3370"/>
      <c r="E5" s="3376" t="s">
        <v>2525</v>
      </c>
      <c r="F5" s="3377"/>
      <c r="G5" s="3369" t="s">
        <v>2526</v>
      </c>
      <c r="H5" s="3370"/>
      <c r="I5" s="3369" t="s">
        <v>2527</v>
      </c>
      <c r="J5" s="3370"/>
      <c r="K5" s="608"/>
      <c r="L5" s="1126"/>
      <c r="M5" s="1127"/>
      <c r="N5" s="1127"/>
      <c r="O5" s="1127"/>
      <c r="P5" s="3357"/>
      <c r="Q5" s="3358"/>
      <c r="R5" s="3363"/>
      <c r="S5" s="3364"/>
      <c r="T5" s="3363"/>
      <c r="U5" s="3364"/>
      <c r="V5" s="3348"/>
      <c r="W5" s="3348"/>
      <c r="X5" s="1807"/>
      <c r="Y5" s="3363"/>
      <c r="Z5" s="3364"/>
      <c r="AA5" s="3350"/>
      <c r="AB5" s="3350"/>
      <c r="AC5" s="3350"/>
    </row>
    <row r="6" spans="1:29" ht="15" thickBot="1">
      <c r="A6" s="404"/>
      <c r="B6" s="405"/>
      <c r="C6" s="3367" t="s">
        <v>2528</v>
      </c>
      <c r="D6" s="3368"/>
      <c r="E6" s="3374" t="s">
        <v>2528</v>
      </c>
      <c r="F6" s="3375"/>
      <c r="G6" s="3367" t="s">
        <v>2528</v>
      </c>
      <c r="H6" s="3368"/>
      <c r="I6" s="3367" t="s">
        <v>2528</v>
      </c>
      <c r="J6" s="3368"/>
      <c r="K6" s="608" t="s">
        <v>2529</v>
      </c>
      <c r="L6" s="1126"/>
      <c r="M6" s="1127"/>
      <c r="N6" s="1127"/>
      <c r="O6" s="1127"/>
      <c r="P6" s="3359"/>
      <c r="Q6" s="3360"/>
      <c r="R6" s="3363"/>
      <c r="S6" s="3364"/>
      <c r="T6" s="3365"/>
      <c r="U6" s="3366"/>
      <c r="V6" s="3348"/>
      <c r="W6" s="3348"/>
      <c r="X6" s="1807"/>
      <c r="Y6" s="3365"/>
      <c r="Z6" s="3366"/>
      <c r="AA6" s="3351"/>
      <c r="AB6" s="3351"/>
      <c r="AC6" s="3351"/>
    </row>
    <row r="7" spans="1:29" s="115" customFormat="1" ht="1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71" t="s">
        <v>2531</v>
      </c>
      <c r="Q7" s="3373"/>
      <c r="R7" s="768" t="s">
        <v>17</v>
      </c>
      <c r="S7" s="769">
        <f t="shared" ref="S7:S14" si="0">F7</f>
        <v>0</v>
      </c>
      <c r="T7" s="768" t="s">
        <v>17</v>
      </c>
      <c r="U7" s="769">
        <f t="shared" ref="U7:U14" si="1">H7</f>
        <v>0</v>
      </c>
      <c r="V7" s="768" t="s">
        <v>17</v>
      </c>
      <c r="W7" s="769">
        <f t="shared" ref="W7:W14" si="2">J7</f>
        <v>0</v>
      </c>
      <c r="X7" s="770"/>
      <c r="Y7" s="3371" t="s">
        <v>2531</v>
      </c>
      <c r="Z7" s="3372"/>
      <c r="AA7" s="771" t="e">
        <f>D7/F7</f>
        <v>#DIV/0!</v>
      </c>
      <c r="AB7" s="771" t="e">
        <f>D7/H7</f>
        <v>#DIV/0!</v>
      </c>
      <c r="AC7" s="771" t="e">
        <f>D7/J7</f>
        <v>#DIV/0!</v>
      </c>
    </row>
    <row r="8" spans="1:29" s="115" customFormat="1" ht="1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71" t="s">
        <v>2534</v>
      </c>
      <c r="Q8" s="3372"/>
      <c r="R8" s="768" t="s">
        <v>17</v>
      </c>
      <c r="S8" s="769">
        <f t="shared" si="0"/>
        <v>0</v>
      </c>
      <c r="T8" s="768" t="s">
        <v>17</v>
      </c>
      <c r="U8" s="769">
        <f t="shared" si="1"/>
        <v>0</v>
      </c>
      <c r="V8" s="768" t="s">
        <v>17</v>
      </c>
      <c r="W8" s="769">
        <f t="shared" si="2"/>
        <v>0</v>
      </c>
      <c r="X8" s="770"/>
      <c r="Y8" s="3371" t="s">
        <v>2534</v>
      </c>
      <c r="Z8" s="3372"/>
      <c r="AA8" s="771" t="e">
        <f t="shared" ref="AA8:AA34" si="3">D8/F8</f>
        <v>#DIV/0!</v>
      </c>
      <c r="AB8" s="771" t="e">
        <f t="shared" ref="AB8:AB34" si="4">D8/H8</f>
        <v>#DIV/0!</v>
      </c>
      <c r="AC8" s="771" t="e">
        <f t="shared" ref="AC8:AC34" si="5">D8/J8</f>
        <v>#DIV/0!</v>
      </c>
    </row>
    <row r="9" spans="1:29" s="115" customFormat="1" ht="14.4">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42" t="s">
        <v>2537</v>
      </c>
      <c r="Q9" s="1789" t="str">
        <f t="shared" ref="Q9:Q14" si="6">B9</f>
        <v>用途</v>
      </c>
      <c r="R9" s="768" t="s">
        <v>17</v>
      </c>
      <c r="S9" s="769">
        <f t="shared" si="0"/>
        <v>100</v>
      </c>
      <c r="T9" s="768" t="s">
        <v>17</v>
      </c>
      <c r="U9" s="769">
        <f t="shared" si="1"/>
        <v>100</v>
      </c>
      <c r="V9" s="768" t="s">
        <v>17</v>
      </c>
      <c r="W9" s="769">
        <f t="shared" si="2"/>
        <v>100</v>
      </c>
      <c r="X9" s="770"/>
      <c r="Y9" s="3170" t="s">
        <v>2538</v>
      </c>
      <c r="Z9" s="55" t="str">
        <f t="shared" ref="Z9:Z14" si="7">Q9</f>
        <v>用途</v>
      </c>
      <c r="AA9" s="771">
        <f t="shared" si="3"/>
        <v>1</v>
      </c>
      <c r="AB9" s="771">
        <f t="shared" si="4"/>
        <v>1</v>
      </c>
      <c r="AC9" s="771">
        <f t="shared" si="5"/>
        <v>1</v>
      </c>
    </row>
    <row r="10" spans="1:29" s="425" customFormat="1" ht="28.8">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42"/>
      <c r="Q10" s="1789" t="str">
        <f t="shared" si="6"/>
        <v>土地使用年限（年）</v>
      </c>
      <c r="R10" s="768" t="s">
        <v>17</v>
      </c>
      <c r="S10" s="769">
        <f t="shared" si="0"/>
        <v>100</v>
      </c>
      <c r="T10" s="768" t="s">
        <v>17</v>
      </c>
      <c r="U10" s="769">
        <f t="shared" si="1"/>
        <v>100</v>
      </c>
      <c r="V10" s="768" t="s">
        <v>17</v>
      </c>
      <c r="W10" s="769">
        <f t="shared" si="2"/>
        <v>100</v>
      </c>
      <c r="X10" s="770"/>
      <c r="Y10" s="3170"/>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42"/>
      <c r="Q11" s="1789">
        <f t="shared" si="6"/>
        <v>111</v>
      </c>
      <c r="R11" s="768" t="s">
        <v>17</v>
      </c>
      <c r="S11" s="769">
        <f t="shared" si="0"/>
        <v>100</v>
      </c>
      <c r="T11" s="768" t="s">
        <v>17</v>
      </c>
      <c r="U11" s="769">
        <f t="shared" si="1"/>
        <v>100</v>
      </c>
      <c r="V11" s="768" t="s">
        <v>17</v>
      </c>
      <c r="W11" s="769">
        <f t="shared" si="2"/>
        <v>100</v>
      </c>
      <c r="X11" s="770"/>
      <c r="Y11" s="3170"/>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42"/>
      <c r="Q12" s="1789">
        <f t="shared" si="6"/>
        <v>111</v>
      </c>
      <c r="R12" s="768" t="s">
        <v>17</v>
      </c>
      <c r="S12" s="769">
        <f t="shared" si="0"/>
        <v>100</v>
      </c>
      <c r="T12" s="768" t="s">
        <v>17</v>
      </c>
      <c r="U12" s="769">
        <f t="shared" si="1"/>
        <v>100</v>
      </c>
      <c r="V12" s="768" t="s">
        <v>17</v>
      </c>
      <c r="W12" s="769">
        <f t="shared" si="2"/>
        <v>100</v>
      </c>
      <c r="X12" s="770"/>
      <c r="Y12" s="3170"/>
      <c r="Z12" s="55">
        <f t="shared" si="7"/>
        <v>111</v>
      </c>
      <c r="AA12" s="771">
        <f>D12/F12</f>
        <v>1</v>
      </c>
      <c r="AB12" s="771">
        <f>D12/H12</f>
        <v>1</v>
      </c>
      <c r="AC12" s="771">
        <f>D12/J12</f>
        <v>1</v>
      </c>
    </row>
    <row r="13" spans="1:29" ht="15.6"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42"/>
      <c r="Q13" s="1789">
        <f t="shared" si="6"/>
        <v>111</v>
      </c>
      <c r="R13" s="768" t="s">
        <v>17</v>
      </c>
      <c r="S13" s="769">
        <f t="shared" si="0"/>
        <v>100</v>
      </c>
      <c r="T13" s="768" t="s">
        <v>17</v>
      </c>
      <c r="U13" s="769">
        <f t="shared" si="1"/>
        <v>100</v>
      </c>
      <c r="V13" s="768" t="s">
        <v>17</v>
      </c>
      <c r="W13" s="769">
        <f t="shared" si="2"/>
        <v>100</v>
      </c>
      <c r="X13" s="770"/>
      <c r="Y13" s="3170"/>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44" t="s">
        <v>2542</v>
      </c>
      <c r="Q14" s="1804" t="str">
        <f t="shared" si="6"/>
        <v>交通便捷度</v>
      </c>
      <c r="R14" s="772" t="s">
        <v>17</v>
      </c>
      <c r="S14" s="773">
        <f t="shared" si="0"/>
        <v>100</v>
      </c>
      <c r="T14" s="772" t="s">
        <v>17</v>
      </c>
      <c r="U14" s="773">
        <f t="shared" si="1"/>
        <v>100</v>
      </c>
      <c r="V14" s="772" t="s">
        <v>17</v>
      </c>
      <c r="W14" s="773">
        <f t="shared" si="2"/>
        <v>100</v>
      </c>
      <c r="X14" s="1807"/>
      <c r="Y14" s="3344"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45"/>
      <c r="Q15" s="1804"/>
      <c r="R15" s="772"/>
      <c r="S15" s="773"/>
      <c r="T15" s="772"/>
      <c r="U15" s="773"/>
      <c r="V15" s="772"/>
      <c r="W15" s="773"/>
      <c r="X15" s="1807"/>
      <c r="Y15" s="3345"/>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45"/>
      <c r="Q16" s="1804" t="str">
        <f>B16</f>
        <v>公共配套设施</v>
      </c>
      <c r="R16" s="772" t="s">
        <v>17</v>
      </c>
      <c r="S16" s="773">
        <f>F16</f>
        <v>100</v>
      </c>
      <c r="T16" s="772" t="s">
        <v>17</v>
      </c>
      <c r="U16" s="773">
        <f>H16</f>
        <v>100</v>
      </c>
      <c r="V16" s="772" t="s">
        <v>17</v>
      </c>
      <c r="W16" s="773">
        <f>J16</f>
        <v>100</v>
      </c>
      <c r="X16" s="1807"/>
      <c r="Y16" s="3345"/>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45"/>
      <c r="Q17" s="1804"/>
      <c r="R17" s="772"/>
      <c r="S17" s="773"/>
      <c r="T17" s="772"/>
      <c r="U17" s="773"/>
      <c r="V17" s="772"/>
      <c r="W17" s="773"/>
      <c r="X17" s="1807"/>
      <c r="Y17" s="3345"/>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45"/>
      <c r="Q18" s="1804" t="str">
        <f>B18</f>
        <v>基础设施水平</v>
      </c>
      <c r="R18" s="772" t="s">
        <v>17</v>
      </c>
      <c r="S18" s="773">
        <f>F18</f>
        <v>100</v>
      </c>
      <c r="T18" s="772" t="s">
        <v>17</v>
      </c>
      <c r="U18" s="773">
        <f>H18</f>
        <v>100</v>
      </c>
      <c r="V18" s="772" t="s">
        <v>17</v>
      </c>
      <c r="W18" s="773">
        <f>J18</f>
        <v>100</v>
      </c>
      <c r="X18" s="1807"/>
      <c r="Y18" s="3345"/>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45"/>
      <c r="Q19" s="1804"/>
      <c r="R19" s="772"/>
      <c r="S19" s="773"/>
      <c r="T19" s="772"/>
      <c r="U19" s="773"/>
      <c r="V19" s="772"/>
      <c r="W19" s="773"/>
      <c r="X19" s="1807"/>
      <c r="Y19" s="3345"/>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45"/>
      <c r="Q20" s="1804" t="str">
        <f>B20</f>
        <v>自然及人文环境</v>
      </c>
      <c r="R20" s="772" t="s">
        <v>17</v>
      </c>
      <c r="S20" s="773">
        <f>F20</f>
        <v>100</v>
      </c>
      <c r="T20" s="772" t="s">
        <v>17</v>
      </c>
      <c r="U20" s="773">
        <f>H20</f>
        <v>100</v>
      </c>
      <c r="V20" s="772" t="s">
        <v>17</v>
      </c>
      <c r="W20" s="773">
        <f>J20</f>
        <v>100</v>
      </c>
      <c r="X20" s="1807"/>
      <c r="Y20" s="3345"/>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45"/>
      <c r="Q21" s="1804"/>
      <c r="R21" s="772"/>
      <c r="S21" s="773"/>
      <c r="T21" s="772"/>
      <c r="U21" s="773"/>
      <c r="V21" s="772"/>
      <c r="W21" s="773"/>
      <c r="X21" s="1807"/>
      <c r="Y21" s="3345"/>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45"/>
      <c r="Q22" s="1804" t="str">
        <f>B22</f>
        <v>楼层</v>
      </c>
      <c r="R22" s="772" t="s">
        <v>17</v>
      </c>
      <c r="S22" s="773">
        <f>F22</f>
        <v>100</v>
      </c>
      <c r="T22" s="772" t="s">
        <v>17</v>
      </c>
      <c r="U22" s="773">
        <f>H22</f>
        <v>100</v>
      </c>
      <c r="V22" s="772" t="s">
        <v>17</v>
      </c>
      <c r="W22" s="773">
        <f>J22</f>
        <v>100</v>
      </c>
      <c r="X22" s="1807"/>
      <c r="Y22" s="3345"/>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45"/>
      <c r="Q23" s="1804">
        <f>B23</f>
        <v>111</v>
      </c>
      <c r="R23" s="772" t="s">
        <v>17</v>
      </c>
      <c r="S23" s="773">
        <f>F23</f>
        <v>100</v>
      </c>
      <c r="T23" s="772" t="s">
        <v>17</v>
      </c>
      <c r="U23" s="773">
        <f>H23</f>
        <v>100</v>
      </c>
      <c r="V23" s="772" t="s">
        <v>17</v>
      </c>
      <c r="W23" s="773">
        <f>J23</f>
        <v>100</v>
      </c>
      <c r="X23" s="1807"/>
      <c r="Y23" s="3345"/>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45"/>
      <c r="Q24" s="1804">
        <f t="shared" ref="Q24:Q34" si="11">B24</f>
        <v>111</v>
      </c>
      <c r="R24" s="772" t="s">
        <v>17</v>
      </c>
      <c r="S24" s="773">
        <f>F24</f>
        <v>100</v>
      </c>
      <c r="T24" s="772" t="s">
        <v>17</v>
      </c>
      <c r="U24" s="773">
        <f>H24</f>
        <v>100</v>
      </c>
      <c r="V24" s="772" t="s">
        <v>17</v>
      </c>
      <c r="W24" s="773">
        <f>J24</f>
        <v>100</v>
      </c>
      <c r="X24" s="1807"/>
      <c r="Y24" s="3345"/>
      <c r="Z24" s="1808">
        <f>Q24</f>
        <v>111</v>
      </c>
      <c r="AA24" s="1805">
        <f t="shared" si="3"/>
        <v>1</v>
      </c>
      <c r="AB24" s="1805">
        <f t="shared" si="4"/>
        <v>1</v>
      </c>
      <c r="AC24" s="1805">
        <f t="shared" si="5"/>
        <v>1</v>
      </c>
    </row>
    <row r="25" spans="1:29" s="115" customFormat="1" ht="15.6"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45"/>
      <c r="Q25" s="1789">
        <f t="shared" si="11"/>
        <v>111</v>
      </c>
      <c r="R25" s="768" t="s">
        <v>17</v>
      </c>
      <c r="S25" s="769">
        <f>F25</f>
        <v>100</v>
      </c>
      <c r="T25" s="768" t="s">
        <v>17</v>
      </c>
      <c r="U25" s="769">
        <f>H25</f>
        <v>100</v>
      </c>
      <c r="V25" s="768" t="s">
        <v>17</v>
      </c>
      <c r="W25" s="769">
        <f>J25</f>
        <v>100</v>
      </c>
      <c r="X25" s="770"/>
      <c r="Y25" s="3345"/>
      <c r="Z25" s="55">
        <f>Q25</f>
        <v>111</v>
      </c>
      <c r="AA25" s="1805">
        <f>D25/F25</f>
        <v>1</v>
      </c>
      <c r="AB25" s="1805">
        <f>D25/H25</f>
        <v>1</v>
      </c>
      <c r="AC25" s="1805">
        <f>D25/J25</f>
        <v>1</v>
      </c>
    </row>
    <row r="26" spans="1:29" ht="30">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46"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47"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47"/>
      <c r="Q27" s="774" t="str">
        <f t="shared" si="11"/>
        <v>成新率</v>
      </c>
      <c r="R27" s="775" t="s">
        <v>17</v>
      </c>
      <c r="S27" s="776" t="e">
        <f t="shared" si="12"/>
        <v>#N/A</v>
      </c>
      <c r="T27" s="775" t="s">
        <v>17</v>
      </c>
      <c r="U27" s="776" t="e">
        <f t="shared" si="13"/>
        <v>#N/A</v>
      </c>
      <c r="V27" s="775" t="s">
        <v>17</v>
      </c>
      <c r="W27" s="776" t="e">
        <f t="shared" si="14"/>
        <v>#N/A</v>
      </c>
      <c r="X27" s="777"/>
      <c r="Y27" s="3347"/>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47"/>
      <c r="Q28" s="1804" t="str">
        <f t="shared" si="11"/>
        <v>物业等级</v>
      </c>
      <c r="R28" s="772" t="s">
        <v>17</v>
      </c>
      <c r="S28" s="773">
        <f t="shared" si="12"/>
        <v>100</v>
      </c>
      <c r="T28" s="772" t="s">
        <v>17</v>
      </c>
      <c r="U28" s="773">
        <f t="shared" si="13"/>
        <v>100</v>
      </c>
      <c r="V28" s="772" t="s">
        <v>17</v>
      </c>
      <c r="W28" s="773">
        <f t="shared" si="14"/>
        <v>100</v>
      </c>
      <c r="X28" s="1807"/>
      <c r="Y28" s="3347"/>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47"/>
      <c r="Q29" s="1804" t="str">
        <f t="shared" si="11"/>
        <v>有无电梯</v>
      </c>
      <c r="R29" s="772" t="s">
        <v>17</v>
      </c>
      <c r="S29" s="773">
        <f t="shared" si="12"/>
        <v>100</v>
      </c>
      <c r="T29" s="772" t="s">
        <v>17</v>
      </c>
      <c r="U29" s="773">
        <f t="shared" si="13"/>
        <v>100</v>
      </c>
      <c r="V29" s="772" t="s">
        <v>17</v>
      </c>
      <c r="W29" s="773">
        <f t="shared" si="14"/>
        <v>100</v>
      </c>
      <c r="X29" s="1807"/>
      <c r="Y29" s="3347"/>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47"/>
      <c r="Q30" s="1804" t="str">
        <f t="shared" si="11"/>
        <v>建筑面积</v>
      </c>
      <c r="R30" s="772" t="s">
        <v>17</v>
      </c>
      <c r="S30" s="773" t="e">
        <f t="shared" si="12"/>
        <v>#N/A</v>
      </c>
      <c r="T30" s="772" t="s">
        <v>17</v>
      </c>
      <c r="U30" s="773" t="e">
        <f t="shared" si="13"/>
        <v>#N/A</v>
      </c>
      <c r="V30" s="772" t="s">
        <v>17</v>
      </c>
      <c r="W30" s="773" t="e">
        <f t="shared" si="14"/>
        <v>#N/A</v>
      </c>
      <c r="X30" s="1807"/>
      <c r="Y30" s="3347"/>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47"/>
      <c r="Q31" s="1789" t="str">
        <f t="shared" si="11"/>
        <v>是否封闭</v>
      </c>
      <c r="R31" s="768" t="s">
        <v>17</v>
      </c>
      <c r="S31" s="769">
        <f t="shared" si="12"/>
        <v>100</v>
      </c>
      <c r="T31" s="768" t="s">
        <v>17</v>
      </c>
      <c r="U31" s="769">
        <f t="shared" si="13"/>
        <v>100</v>
      </c>
      <c r="V31" s="768" t="s">
        <v>17</v>
      </c>
      <c r="W31" s="769">
        <f t="shared" si="14"/>
        <v>100</v>
      </c>
      <c r="X31" s="770"/>
      <c r="Y31" s="3347"/>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47" t="s">
        <v>2547</v>
      </c>
      <c r="Q32" s="1804">
        <f t="shared" si="11"/>
        <v>111</v>
      </c>
      <c r="R32" s="772" t="s">
        <v>17</v>
      </c>
      <c r="S32" s="773">
        <f t="shared" si="12"/>
        <v>100</v>
      </c>
      <c r="T32" s="772" t="s">
        <v>17</v>
      </c>
      <c r="U32" s="773">
        <f t="shared" si="13"/>
        <v>100</v>
      </c>
      <c r="V32" s="772" t="s">
        <v>17</v>
      </c>
      <c r="W32" s="773">
        <f t="shared" si="14"/>
        <v>100</v>
      </c>
      <c r="X32" s="1807"/>
      <c r="Y32" s="3347"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47"/>
      <c r="Q33" s="1804">
        <f t="shared" si="11"/>
        <v>111</v>
      </c>
      <c r="R33" s="772" t="s">
        <v>17</v>
      </c>
      <c r="S33" s="773">
        <f t="shared" si="12"/>
        <v>100</v>
      </c>
      <c r="T33" s="772" t="s">
        <v>17</v>
      </c>
      <c r="U33" s="773">
        <f t="shared" si="13"/>
        <v>100</v>
      </c>
      <c r="V33" s="772" t="s">
        <v>17</v>
      </c>
      <c r="W33" s="773">
        <f t="shared" si="14"/>
        <v>100</v>
      </c>
      <c r="X33" s="1807"/>
      <c r="Y33" s="3347"/>
      <c r="Z33" s="1808">
        <f t="shared" si="15"/>
        <v>111</v>
      </c>
      <c r="AA33" s="1805">
        <f t="shared" si="3"/>
        <v>1</v>
      </c>
      <c r="AB33" s="1805">
        <f t="shared" si="4"/>
        <v>1</v>
      </c>
      <c r="AC33" s="1805">
        <f t="shared" si="5"/>
        <v>1</v>
      </c>
    </row>
    <row r="34" spans="1:29" ht="15.6"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47"/>
      <c r="Q34" s="1804">
        <f t="shared" si="11"/>
        <v>111</v>
      </c>
      <c r="R34" s="772" t="s">
        <v>17</v>
      </c>
      <c r="S34" s="773">
        <f t="shared" si="12"/>
        <v>100</v>
      </c>
      <c r="T34" s="772" t="s">
        <v>17</v>
      </c>
      <c r="U34" s="773">
        <f t="shared" si="13"/>
        <v>100</v>
      </c>
      <c r="V34" s="772" t="s">
        <v>17</v>
      </c>
      <c r="W34" s="773">
        <f t="shared" si="14"/>
        <v>100</v>
      </c>
      <c r="X34" s="1807"/>
      <c r="Y34" s="3347"/>
      <c r="Z34" s="1808">
        <f t="shared" si="15"/>
        <v>111</v>
      </c>
      <c r="AA34" s="1805">
        <f t="shared" si="3"/>
        <v>1</v>
      </c>
      <c r="AB34" s="1805">
        <f t="shared" si="4"/>
        <v>1</v>
      </c>
      <c r="AC34" s="1805">
        <f t="shared" si="5"/>
        <v>1</v>
      </c>
    </row>
    <row r="35" spans="1:29" ht="14.4">
      <c r="A35" s="477" t="s">
        <v>2559</v>
      </c>
      <c r="B35" s="478"/>
      <c r="C35" s="1403" t="s">
        <v>1</v>
      </c>
      <c r="D35" s="1404"/>
      <c r="E35" s="1405"/>
      <c r="F35" s="1406"/>
      <c r="G35" s="1407"/>
      <c r="H35" s="1408"/>
      <c r="I35" s="1405"/>
      <c r="J35" s="1408"/>
      <c r="K35" s="781"/>
      <c r="L35" s="1139"/>
      <c r="M35" s="1140"/>
      <c r="N35" s="1127"/>
      <c r="O35" s="1140"/>
      <c r="P35" s="3342" t="str">
        <f>A35</f>
        <v>成交单价（元/平方米）</v>
      </c>
      <c r="Q35" s="3342"/>
      <c r="R35" s="3383">
        <f>E35</f>
        <v>0</v>
      </c>
      <c r="S35" s="3383"/>
      <c r="T35" s="3383">
        <f>G35</f>
        <v>0</v>
      </c>
      <c r="U35" s="3383"/>
      <c r="V35" s="3383">
        <f>I35</f>
        <v>0</v>
      </c>
      <c r="W35" s="3383"/>
      <c r="X35" s="757"/>
      <c r="Y35" s="779"/>
      <c r="Z35" s="757"/>
      <c r="AA35" s="757"/>
      <c r="AB35" s="757"/>
      <c r="AC35" s="757"/>
    </row>
    <row r="36" spans="1:29" ht="1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42" t="str">
        <f>A36</f>
        <v>比较价值（元/平方米）</v>
      </c>
      <c r="Q36" s="334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757"/>
      <c r="Y36" s="757"/>
      <c r="Z36" s="757"/>
      <c r="AA36" s="757"/>
      <c r="AB36" s="757"/>
      <c r="AC36" s="757"/>
    </row>
    <row r="37" spans="1:29" ht="15" thickBot="1">
      <c r="A37" s="490" t="s">
        <v>2652</v>
      </c>
      <c r="B37" s="491"/>
      <c r="C37" s="1413" t="e">
        <f>R37</f>
        <v>#DIV/0!</v>
      </c>
      <c r="D37" s="1413"/>
      <c r="E37" s="1413"/>
      <c r="F37" s="1413"/>
      <c r="G37" s="1413"/>
      <c r="H37" s="1413"/>
      <c r="I37" s="1413"/>
      <c r="J37" s="1413"/>
      <c r="K37" s="783"/>
      <c r="L37" s="1139"/>
      <c r="M37" s="1140"/>
      <c r="N37" s="1140"/>
      <c r="O37" s="1140"/>
      <c r="P37" s="3336" t="str">
        <f>A37</f>
        <v>估价对象XX用房的比较价值（楼面单价，元/平方米）</v>
      </c>
      <c r="Q37" s="3337"/>
      <c r="R37" s="3384" t="e">
        <f>IF(F1="售价",ROUND(AVERAGE(R36:V36),0),ROUND(AVERAGE(R36:V36),1))</f>
        <v>#DIV/0!</v>
      </c>
      <c r="S37" s="3384"/>
      <c r="T37" s="3384"/>
      <c r="U37" s="3384"/>
      <c r="V37" s="3384"/>
      <c r="W37" s="3384"/>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1" t="s">
        <v>2656</v>
      </c>
      <c r="B45" s="757"/>
      <c r="C45" s="762"/>
      <c r="D45" s="762"/>
      <c r="E45" s="762"/>
      <c r="F45" s="763"/>
      <c r="G45" s="763"/>
      <c r="H45" s="762"/>
      <c r="I45" s="762"/>
      <c r="J45" s="762"/>
      <c r="K45" s="764"/>
      <c r="L45" s="765"/>
      <c r="M45" s="762"/>
      <c r="N45" s="762"/>
      <c r="O45" s="762"/>
      <c r="P45" s="501"/>
      <c r="Q45" s="502"/>
    </row>
    <row r="46" spans="1:29" s="506" customFormat="1" ht="14.4">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c r="A47" s="507"/>
      <c r="B47" s="508"/>
      <c r="C47" s="1567">
        <v>100</v>
      </c>
      <c r="D47" s="510"/>
      <c r="E47" s="510"/>
      <c r="F47" s="510"/>
      <c r="G47" s="510"/>
      <c r="H47" s="510"/>
      <c r="I47" s="510"/>
      <c r="J47" s="510"/>
      <c r="K47" s="510"/>
      <c r="L47" s="510"/>
      <c r="M47" s="511"/>
      <c r="N47" s="510"/>
      <c r="O47" s="512"/>
      <c r="P47" s="502"/>
    </row>
    <row r="48" spans="1:29" s="115" customFormat="1" ht="15" thickBot="1">
      <c r="A48" s="513" t="s">
        <v>2567</v>
      </c>
      <c r="B48" s="514"/>
      <c r="C48" s="515"/>
      <c r="D48" s="516"/>
      <c r="E48" s="516"/>
      <c r="F48" s="516"/>
      <c r="G48" s="516"/>
      <c r="H48" s="516"/>
      <c r="I48" s="516"/>
      <c r="J48" s="516"/>
      <c r="K48" s="516"/>
      <c r="L48" s="516"/>
      <c r="M48" s="517"/>
      <c r="N48" s="516"/>
      <c r="O48" s="518"/>
      <c r="P48" s="502"/>
      <c r="Q48" s="502"/>
    </row>
    <row r="49" spans="1:17" s="115" customFormat="1" ht="14.4">
      <c r="A49" s="519" t="s">
        <v>2532</v>
      </c>
      <c r="B49" s="508"/>
      <c r="C49" s="520" t="s">
        <v>2634</v>
      </c>
      <c r="D49" s="521"/>
      <c r="E49" s="521"/>
      <c r="F49" s="521"/>
      <c r="G49" s="521"/>
      <c r="H49" s="521"/>
      <c r="I49" s="521"/>
      <c r="J49" s="521"/>
      <c r="K49" s="521"/>
      <c r="L49" s="522"/>
      <c r="M49" s="523"/>
      <c r="N49" s="1147"/>
      <c r="O49" s="1147"/>
      <c r="P49" s="524"/>
      <c r="Q49" s="502"/>
    </row>
    <row r="50" spans="1:17" s="115" customFormat="1" ht="14.4" thickBot="1">
      <c r="A50" s="519"/>
      <c r="B50" s="508"/>
      <c r="C50" s="637">
        <v>100</v>
      </c>
      <c r="D50" s="510"/>
      <c r="E50" s="510"/>
      <c r="F50" s="510"/>
      <c r="G50" s="510"/>
      <c r="H50" s="510"/>
      <c r="I50" s="510"/>
      <c r="J50" s="510"/>
      <c r="K50" s="510"/>
      <c r="L50" s="510"/>
      <c r="M50" s="512"/>
      <c r="N50" s="1147"/>
      <c r="O50" s="1147"/>
      <c r="P50" s="502"/>
      <c r="Q50" s="502"/>
    </row>
    <row r="51" spans="1:17" ht="14.4">
      <c r="A51" s="525" t="s">
        <v>2570</v>
      </c>
      <c r="B51" s="526" t="s">
        <v>2536</v>
      </c>
      <c r="C51" s="527">
        <f>C9</f>
        <v>0</v>
      </c>
      <c r="D51" s="528"/>
      <c r="E51" s="528"/>
      <c r="F51" s="528"/>
      <c r="G51" s="528"/>
      <c r="H51" s="528"/>
      <c r="I51" s="528"/>
      <c r="J51" s="528"/>
      <c r="K51" s="529"/>
      <c r="L51" s="530"/>
      <c r="M51" s="531"/>
      <c r="N51" s="1148"/>
      <c r="O51" s="1148"/>
      <c r="P51" s="45"/>
      <c r="Q51" s="502"/>
    </row>
    <row r="52" spans="1:17" ht="14.4" thickBot="1">
      <c r="A52" s="532"/>
      <c r="B52" s="533"/>
      <c r="C52" s="534">
        <v>100</v>
      </c>
      <c r="D52" s="534"/>
      <c r="E52" s="534"/>
      <c r="F52" s="534"/>
      <c r="G52" s="534"/>
      <c r="H52" s="534"/>
      <c r="I52" s="534"/>
      <c r="J52" s="534"/>
      <c r="K52" s="534"/>
      <c r="L52" s="534"/>
      <c r="M52" s="535"/>
      <c r="N52" s="1149"/>
      <c r="O52" s="1149"/>
      <c r="P52" s="45"/>
      <c r="Q52" s="502"/>
    </row>
    <row r="53" spans="1:17" ht="29.4"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4.4" thickTop="1">
      <c r="A55" s="532"/>
      <c r="B55" s="658">
        <f>B11</f>
        <v>111</v>
      </c>
      <c r="C55" s="547"/>
      <c r="D55" s="547"/>
      <c r="E55" s="547"/>
      <c r="F55" s="547"/>
      <c r="G55" s="547"/>
      <c r="H55" s="547"/>
      <c r="I55" s="547"/>
      <c r="J55" s="547"/>
      <c r="K55" s="548"/>
      <c r="L55" s="549"/>
      <c r="M55" s="550"/>
      <c r="N55" s="1148"/>
      <c r="O55" s="1148"/>
      <c r="P55" s="45"/>
      <c r="Q55" s="502"/>
    </row>
    <row r="56" spans="1:17" ht="14.4" thickBot="1">
      <c r="A56" s="532"/>
      <c r="B56" s="533"/>
      <c r="C56" s="558"/>
      <c r="D56" s="534"/>
      <c r="E56" s="534"/>
      <c r="F56" s="534"/>
      <c r="G56" s="534"/>
      <c r="H56" s="534"/>
      <c r="I56" s="534"/>
      <c r="J56" s="534"/>
      <c r="K56" s="534"/>
      <c r="L56" s="534"/>
      <c r="M56" s="535"/>
      <c r="N56" s="1149"/>
      <c r="O56" s="1149"/>
      <c r="P56" s="45"/>
      <c r="Q56" s="502"/>
    </row>
    <row r="57" spans="1:17" s="469" customFormat="1" ht="14.4" thickTop="1">
      <c r="A57" s="551"/>
      <c r="B57" s="536">
        <f>B12</f>
        <v>111</v>
      </c>
      <c r="C57" s="547"/>
      <c r="D57" s="547"/>
      <c r="E57" s="547"/>
      <c r="F57" s="547"/>
      <c r="G57" s="552"/>
      <c r="H57" s="553"/>
      <c r="I57" s="553"/>
      <c r="J57" s="553"/>
      <c r="K57" s="553"/>
      <c r="L57" s="554"/>
      <c r="M57" s="555"/>
      <c r="N57" s="1150"/>
      <c r="O57" s="1150"/>
      <c r="P57" s="556"/>
      <c r="Q57" s="557"/>
    </row>
    <row r="58" spans="1:17" s="469" customFormat="1" ht="14.4" thickBot="1">
      <c r="A58" s="551"/>
      <c r="B58" s="541"/>
      <c r="C58" s="558"/>
      <c r="D58" s="534"/>
      <c r="E58" s="534"/>
      <c r="F58" s="534"/>
      <c r="G58" s="534"/>
      <c r="H58" s="534"/>
      <c r="I58" s="534"/>
      <c r="J58" s="534"/>
      <c r="K58" s="534"/>
      <c r="L58" s="534"/>
      <c r="M58" s="535"/>
      <c r="N58" s="1149"/>
      <c r="O58" s="1149"/>
      <c r="P58" s="556"/>
      <c r="Q58" s="557"/>
    </row>
    <row r="59" spans="1:17" s="469" customFormat="1" ht="14.4" thickTop="1">
      <c r="A59" s="551"/>
      <c r="B59" s="536">
        <f>B13</f>
        <v>111</v>
      </c>
      <c r="C59" s="547"/>
      <c r="D59" s="547"/>
      <c r="E59" s="547"/>
      <c r="F59" s="547"/>
      <c r="G59" s="552"/>
      <c r="H59" s="553"/>
      <c r="I59" s="553"/>
      <c r="J59" s="553"/>
      <c r="K59" s="553"/>
      <c r="L59" s="554"/>
      <c r="M59" s="555"/>
      <c r="N59" s="1150"/>
      <c r="O59" s="1150"/>
      <c r="P59" s="468"/>
      <c r="Q59" s="559"/>
    </row>
    <row r="60" spans="1:17" s="469" customFormat="1" ht="14.4"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9.4"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 thickTop="1">
      <c r="A69" s="532"/>
      <c r="B69" s="536" t="s">
        <v>2710</v>
      </c>
      <c r="C69" s="552"/>
      <c r="D69" s="552"/>
      <c r="E69" s="552"/>
      <c r="F69" s="552"/>
      <c r="G69" s="552"/>
      <c r="H69" s="581"/>
      <c r="I69" s="581"/>
      <c r="J69" s="581"/>
      <c r="K69" s="582"/>
      <c r="L69" s="583"/>
      <c r="M69" s="584"/>
      <c r="N69" s="1148"/>
      <c r="O69" s="1148"/>
      <c r="P69" s="45"/>
      <c r="Q69" s="502"/>
    </row>
    <row r="70" spans="1:17" ht="14.4"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4.4" thickTop="1">
      <c r="A71" s="577"/>
      <c r="B71" s="536">
        <f>B23</f>
        <v>111</v>
      </c>
      <c r="C71" s="547"/>
      <c r="D71" s="547"/>
      <c r="E71" s="547"/>
      <c r="F71" s="547"/>
      <c r="G71" s="552"/>
      <c r="H71" s="552"/>
      <c r="I71" s="552"/>
      <c r="J71" s="552"/>
      <c r="K71" s="552"/>
      <c r="L71" s="578"/>
      <c r="M71" s="579"/>
      <c r="N71" s="1147"/>
      <c r="O71" s="1147"/>
      <c r="P71" s="45"/>
      <c r="Q71" s="502"/>
    </row>
    <row r="72" spans="1:17" s="115" customFormat="1" ht="14.4" thickBot="1">
      <c r="A72" s="577"/>
      <c r="B72" s="541"/>
      <c r="C72" s="558"/>
      <c r="D72" s="534"/>
      <c r="E72" s="534"/>
      <c r="F72" s="534"/>
      <c r="G72" s="534"/>
      <c r="H72" s="534"/>
      <c r="I72" s="534"/>
      <c r="J72" s="534"/>
      <c r="K72" s="534"/>
      <c r="L72" s="534"/>
      <c r="M72" s="535"/>
      <c r="N72" s="1149"/>
      <c r="O72" s="1149"/>
      <c r="P72" s="45"/>
      <c r="Q72" s="502"/>
    </row>
    <row r="73" spans="1:17" s="115" customFormat="1" ht="14.4" thickTop="1">
      <c r="A73" s="577"/>
      <c r="B73" s="536">
        <f>B24</f>
        <v>111</v>
      </c>
      <c r="C73" s="547"/>
      <c r="D73" s="547"/>
      <c r="E73" s="547"/>
      <c r="F73" s="547"/>
      <c r="G73" s="552"/>
      <c r="H73" s="552"/>
      <c r="I73" s="552"/>
      <c r="J73" s="552"/>
      <c r="K73" s="552"/>
      <c r="L73" s="552"/>
      <c r="M73" s="579"/>
      <c r="N73" s="1147"/>
      <c r="O73" s="1147"/>
      <c r="P73" s="45"/>
      <c r="Q73" s="502"/>
    </row>
    <row r="74" spans="1:17" s="115" customFormat="1" ht="14.4" thickBot="1">
      <c r="A74" s="577"/>
      <c r="B74" s="541"/>
      <c r="C74" s="558"/>
      <c r="D74" s="534"/>
      <c r="E74" s="534"/>
      <c r="F74" s="534"/>
      <c r="G74" s="534"/>
      <c r="H74" s="534"/>
      <c r="I74" s="534"/>
      <c r="J74" s="534"/>
      <c r="K74" s="534"/>
      <c r="L74" s="534"/>
      <c r="M74" s="535"/>
      <c r="N74" s="1149"/>
      <c r="O74" s="1149"/>
      <c r="P74" s="45"/>
      <c r="Q74" s="502"/>
    </row>
    <row r="75" spans="1:17" s="469" customFormat="1" ht="14.4" thickTop="1">
      <c r="A75" s="551"/>
      <c r="B75" s="536">
        <f>B25</f>
        <v>111</v>
      </c>
      <c r="C75" s="547"/>
      <c r="D75" s="547"/>
      <c r="E75" s="547"/>
      <c r="F75" s="547"/>
      <c r="G75" s="552"/>
      <c r="H75" s="553"/>
      <c r="I75" s="553"/>
      <c r="J75" s="553"/>
      <c r="K75" s="553"/>
      <c r="L75" s="554"/>
      <c r="M75" s="555"/>
      <c r="N75" s="1150"/>
      <c r="O75" s="1150"/>
      <c r="P75" s="556"/>
      <c r="Q75" s="557"/>
    </row>
    <row r="76" spans="1:17" s="469" customFormat="1" ht="14.4"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4.4"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4.4" thickBot="1">
      <c r="A90" s="551"/>
      <c r="B90" s="541"/>
      <c r="C90" s="558"/>
      <c r="D90" s="534"/>
      <c r="E90" s="534"/>
      <c r="F90" s="534"/>
      <c r="G90" s="534"/>
      <c r="H90" s="534"/>
      <c r="I90" s="534"/>
      <c r="J90" s="534"/>
      <c r="K90" s="534"/>
      <c r="L90" s="534"/>
      <c r="M90" s="535"/>
      <c r="N90" s="1150"/>
      <c r="O90" s="1150"/>
      <c r="P90" s="556"/>
      <c r="Q90" s="557"/>
    </row>
    <row r="91" spans="1:17" ht="14.4" thickTop="1">
      <c r="A91" s="597"/>
      <c r="B91" s="536">
        <f>B32</f>
        <v>111</v>
      </c>
      <c r="C91" s="547"/>
      <c r="D91" s="547"/>
      <c r="E91" s="547"/>
      <c r="F91" s="547"/>
      <c r="G91" s="552"/>
      <c r="H91" s="553"/>
      <c r="I91" s="553"/>
      <c r="J91" s="553"/>
      <c r="K91" s="553"/>
      <c r="L91" s="554"/>
      <c r="M91" s="555"/>
      <c r="N91" s="1148"/>
      <c r="O91" s="1148"/>
      <c r="P91" s="45"/>
      <c r="Q91" s="502"/>
    </row>
    <row r="92" spans="1:17" ht="14.4" thickBot="1">
      <c r="A92" s="532"/>
      <c r="B92" s="541"/>
      <c r="C92" s="558"/>
      <c r="D92" s="534"/>
      <c r="E92" s="534"/>
      <c r="F92" s="534"/>
      <c r="G92" s="558"/>
      <c r="H92" s="560"/>
      <c r="I92" s="560"/>
      <c r="J92" s="560"/>
      <c r="K92" s="560"/>
      <c r="L92" s="560"/>
      <c r="M92" s="561"/>
      <c r="N92" s="1149"/>
      <c r="O92" s="1149"/>
      <c r="P92" s="45"/>
      <c r="Q92" s="502"/>
    </row>
    <row r="93" spans="1:17" ht="14.4" thickTop="1">
      <c r="A93" s="597"/>
      <c r="B93" s="536">
        <f>B33</f>
        <v>111</v>
      </c>
      <c r="C93" s="547"/>
      <c r="D93" s="547"/>
      <c r="E93" s="547"/>
      <c r="F93" s="547"/>
      <c r="G93" s="552"/>
      <c r="H93" s="553"/>
      <c r="I93" s="553"/>
      <c r="J93" s="553"/>
      <c r="K93" s="553"/>
      <c r="L93" s="554"/>
      <c r="M93" s="555"/>
      <c r="N93" s="1148"/>
      <c r="O93" s="1148"/>
      <c r="P93" s="45"/>
      <c r="Q93" s="502"/>
    </row>
    <row r="94" spans="1:17" ht="14.4" thickBot="1">
      <c r="A94" s="532"/>
      <c r="B94" s="541"/>
      <c r="C94" s="558"/>
      <c r="D94" s="534"/>
      <c r="E94" s="534"/>
      <c r="F94" s="534"/>
      <c r="G94" s="558"/>
      <c r="H94" s="560"/>
      <c r="I94" s="560"/>
      <c r="J94" s="560"/>
      <c r="K94" s="560"/>
      <c r="L94" s="560"/>
      <c r="M94" s="561"/>
      <c r="N94" s="1149"/>
      <c r="O94" s="1149"/>
      <c r="P94" s="45"/>
      <c r="Q94" s="502"/>
    </row>
    <row r="95" spans="1:17" ht="14.4" thickTop="1">
      <c r="A95" s="597"/>
      <c r="B95" s="634">
        <f>B34</f>
        <v>111</v>
      </c>
      <c r="C95" s="547"/>
      <c r="D95" s="547"/>
      <c r="E95" s="547"/>
      <c r="F95" s="547"/>
      <c r="G95" s="552"/>
      <c r="H95" s="553"/>
      <c r="I95" s="553"/>
      <c r="J95" s="553"/>
      <c r="K95" s="553"/>
      <c r="L95" s="554"/>
      <c r="M95" s="555"/>
      <c r="N95" s="1149"/>
      <c r="O95" s="1149"/>
      <c r="P95" s="635"/>
      <c r="Q95" s="636"/>
    </row>
    <row r="96" spans="1:17" ht="14.4" thickBot="1">
      <c r="A96" s="532"/>
      <c r="B96" s="541"/>
      <c r="C96" s="558"/>
      <c r="D96" s="558"/>
      <c r="E96" s="558"/>
      <c r="F96" s="558"/>
      <c r="G96" s="558"/>
      <c r="H96" s="560"/>
      <c r="I96" s="560"/>
      <c r="J96" s="560"/>
      <c r="K96" s="560"/>
      <c r="L96" s="560"/>
      <c r="M96" s="561"/>
      <c r="N96" s="1149"/>
      <c r="O96" s="1149"/>
      <c r="P96" s="45"/>
      <c r="Q96" s="502"/>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4.4">
      <c r="A4" s="399" t="s">
        <v>2627</v>
      </c>
      <c r="B4" s="400"/>
      <c r="C4" s="3339" t="s">
        <v>2628</v>
      </c>
      <c r="D4" s="3352"/>
      <c r="E4" s="3353" t="s">
        <v>2629</v>
      </c>
      <c r="F4" s="3354"/>
      <c r="G4" s="3339" t="s">
        <v>2630</v>
      </c>
      <c r="H4" s="3352"/>
      <c r="I4" s="3339" t="s">
        <v>2631</v>
      </c>
      <c r="J4" s="3352"/>
      <c r="K4" s="608" t="s">
        <v>2632</v>
      </c>
      <c r="L4" s="1126"/>
      <c r="M4" s="1127"/>
      <c r="N4" s="1127"/>
      <c r="O4" s="1127"/>
      <c r="P4" s="3355" t="s">
        <v>2633</v>
      </c>
      <c r="Q4" s="3356"/>
      <c r="R4" s="3361" t="s">
        <v>2629</v>
      </c>
      <c r="S4" s="3362"/>
      <c r="T4" s="3361" t="s">
        <v>2630</v>
      </c>
      <c r="U4" s="3362"/>
      <c r="V4" s="3348" t="s">
        <v>2631</v>
      </c>
      <c r="W4" s="3348"/>
      <c r="X4" s="1807"/>
      <c r="Y4" s="3361" t="s">
        <v>2633</v>
      </c>
      <c r="Z4" s="3362"/>
      <c r="AA4" s="3349" t="s">
        <v>2629</v>
      </c>
      <c r="AB4" s="3350" t="s">
        <v>2630</v>
      </c>
      <c r="AC4" s="3349" t="s">
        <v>2631</v>
      </c>
    </row>
    <row r="5" spans="1:29">
      <c r="A5" s="402"/>
      <c r="B5" s="403"/>
      <c r="C5" s="3369" t="s">
        <v>2524</v>
      </c>
      <c r="D5" s="3370"/>
      <c r="E5" s="3376" t="s">
        <v>2525</v>
      </c>
      <c r="F5" s="3377"/>
      <c r="G5" s="3369" t="s">
        <v>2526</v>
      </c>
      <c r="H5" s="3370"/>
      <c r="I5" s="3369" t="s">
        <v>2527</v>
      </c>
      <c r="J5" s="3370"/>
      <c r="K5" s="608"/>
      <c r="L5" s="1126"/>
      <c r="M5" s="1127"/>
      <c r="N5" s="1127"/>
      <c r="O5" s="1127"/>
      <c r="P5" s="3357"/>
      <c r="Q5" s="3358"/>
      <c r="R5" s="3363"/>
      <c r="S5" s="3364"/>
      <c r="T5" s="3363"/>
      <c r="U5" s="3364"/>
      <c r="V5" s="3348"/>
      <c r="W5" s="3348"/>
      <c r="X5" s="1807"/>
      <c r="Y5" s="3363"/>
      <c r="Z5" s="3364"/>
      <c r="AA5" s="3350"/>
      <c r="AB5" s="3350"/>
      <c r="AC5" s="3350"/>
    </row>
    <row r="6" spans="1:29" ht="15" thickBot="1">
      <c r="A6" s="404"/>
      <c r="B6" s="405"/>
      <c r="C6" s="3428" t="s">
        <v>2777</v>
      </c>
      <c r="D6" s="3429"/>
      <c r="E6" s="3430" t="s">
        <v>2777</v>
      </c>
      <c r="F6" s="3431"/>
      <c r="G6" s="3428" t="s">
        <v>2777</v>
      </c>
      <c r="H6" s="3429"/>
      <c r="I6" s="3428" t="s">
        <v>2777</v>
      </c>
      <c r="J6" s="3429"/>
      <c r="K6" s="608" t="s">
        <v>2529</v>
      </c>
      <c r="L6" s="1126"/>
      <c r="M6" s="1127"/>
      <c r="N6" s="1127"/>
      <c r="O6" s="1127"/>
      <c r="P6" s="3359"/>
      <c r="Q6" s="3360"/>
      <c r="R6" s="3363"/>
      <c r="S6" s="3364"/>
      <c r="T6" s="3365"/>
      <c r="U6" s="3366"/>
      <c r="V6" s="3348"/>
      <c r="W6" s="3348"/>
      <c r="X6" s="1807"/>
      <c r="Y6" s="3365"/>
      <c r="Z6" s="3366"/>
      <c r="AA6" s="3351"/>
      <c r="AB6" s="3351"/>
      <c r="AC6" s="3351"/>
    </row>
    <row r="7" spans="1:29" s="115" customFormat="1" ht="1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71" t="s">
        <v>2531</v>
      </c>
      <c r="Q7" s="3373"/>
      <c r="R7" s="768" t="s">
        <v>17</v>
      </c>
      <c r="S7" s="769">
        <f t="shared" ref="S7:S15" si="0">F7</f>
        <v>0</v>
      </c>
      <c r="T7" s="768" t="s">
        <v>17</v>
      </c>
      <c r="U7" s="769">
        <f t="shared" ref="U7:U15" si="1">H7</f>
        <v>0</v>
      </c>
      <c r="V7" s="768" t="s">
        <v>17</v>
      </c>
      <c r="W7" s="769">
        <f t="shared" ref="W7:W15" si="2">J7</f>
        <v>0</v>
      </c>
      <c r="X7" s="770"/>
      <c r="Y7" s="3371" t="s">
        <v>2531</v>
      </c>
      <c r="Z7" s="3372"/>
      <c r="AA7" s="771" t="e">
        <f>D7/F7</f>
        <v>#DIV/0!</v>
      </c>
      <c r="AB7" s="771" t="e">
        <f>D7/H7</f>
        <v>#DIV/0!</v>
      </c>
      <c r="AC7" s="771" t="e">
        <f>D7/J7</f>
        <v>#DIV/0!</v>
      </c>
    </row>
    <row r="8" spans="1:29" s="115" customFormat="1" ht="1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71" t="s">
        <v>2534</v>
      </c>
      <c r="Q8" s="3372"/>
      <c r="R8" s="768" t="s">
        <v>17</v>
      </c>
      <c r="S8" s="769">
        <f t="shared" si="0"/>
        <v>0</v>
      </c>
      <c r="T8" s="768" t="s">
        <v>17</v>
      </c>
      <c r="U8" s="769">
        <f t="shared" si="1"/>
        <v>0</v>
      </c>
      <c r="V8" s="768" t="s">
        <v>17</v>
      </c>
      <c r="W8" s="769">
        <f t="shared" si="2"/>
        <v>0</v>
      </c>
      <c r="X8" s="770"/>
      <c r="Y8" s="3371" t="s">
        <v>2534</v>
      </c>
      <c r="Z8" s="3372"/>
      <c r="AA8" s="771" t="e">
        <f t="shared" ref="AA8:AA40" si="3">D8/F8</f>
        <v>#DIV/0!</v>
      </c>
      <c r="AB8" s="771" t="e">
        <f t="shared" ref="AB8:AB40" si="4">D8/H8</f>
        <v>#DIV/0!</v>
      </c>
      <c r="AC8" s="771" t="e">
        <f t="shared" ref="AC8:AC40" si="5">D8/J8</f>
        <v>#DIV/0!</v>
      </c>
    </row>
    <row r="9" spans="1:29" s="115" customFormat="1" ht="14.4">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42" t="s">
        <v>2537</v>
      </c>
      <c r="Q9" s="1789" t="str">
        <f t="shared" ref="Q9:Q15" si="6">B9</f>
        <v>用途</v>
      </c>
      <c r="R9" s="768" t="s">
        <v>17</v>
      </c>
      <c r="S9" s="769">
        <f t="shared" si="0"/>
        <v>100</v>
      </c>
      <c r="T9" s="768" t="s">
        <v>17</v>
      </c>
      <c r="U9" s="769">
        <f t="shared" si="1"/>
        <v>100</v>
      </c>
      <c r="V9" s="768" t="s">
        <v>17</v>
      </c>
      <c r="W9" s="769">
        <f t="shared" si="2"/>
        <v>100</v>
      </c>
      <c r="X9" s="770"/>
      <c r="Y9" s="3170" t="s">
        <v>2538</v>
      </c>
      <c r="Z9" s="55" t="str">
        <f t="shared" ref="Z9:Z15" si="7">Q9</f>
        <v>用途</v>
      </c>
      <c r="AA9" s="771">
        <f t="shared" si="3"/>
        <v>1</v>
      </c>
      <c r="AB9" s="771">
        <f t="shared" si="4"/>
        <v>1</v>
      </c>
      <c r="AC9" s="771">
        <f t="shared" si="5"/>
        <v>1</v>
      </c>
    </row>
    <row r="10" spans="1:29" s="425" customFormat="1" ht="28.8">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42"/>
      <c r="Q10" s="1789" t="str">
        <f t="shared" si="6"/>
        <v>土地使用年限（年）</v>
      </c>
      <c r="R10" s="768" t="s">
        <v>17</v>
      </c>
      <c r="S10" s="769">
        <f t="shared" si="0"/>
        <v>101</v>
      </c>
      <c r="T10" s="768" t="s">
        <v>17</v>
      </c>
      <c r="U10" s="769">
        <f t="shared" si="1"/>
        <v>101</v>
      </c>
      <c r="V10" s="768" t="s">
        <v>17</v>
      </c>
      <c r="W10" s="769">
        <f t="shared" si="2"/>
        <v>101</v>
      </c>
      <c r="X10" s="770"/>
      <c r="Y10" s="3170"/>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42"/>
      <c r="Q11" s="1789" t="str">
        <f t="shared" si="6"/>
        <v>容积率</v>
      </c>
      <c r="R11" s="768" t="s">
        <v>17</v>
      </c>
      <c r="S11" s="769" t="e">
        <f t="shared" si="0"/>
        <v>#N/A</v>
      </c>
      <c r="T11" s="768" t="s">
        <v>17</v>
      </c>
      <c r="U11" s="769" t="e">
        <f t="shared" si="1"/>
        <v>#N/A</v>
      </c>
      <c r="V11" s="768" t="s">
        <v>17</v>
      </c>
      <c r="W11" s="769" t="e">
        <f t="shared" si="2"/>
        <v>#N/A</v>
      </c>
      <c r="X11" s="770"/>
      <c r="Y11" s="3170"/>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42"/>
      <c r="Q12" s="1789">
        <f t="shared" si="6"/>
        <v>111</v>
      </c>
      <c r="R12" s="768" t="s">
        <v>17</v>
      </c>
      <c r="S12" s="769">
        <f t="shared" si="0"/>
        <v>100</v>
      </c>
      <c r="T12" s="768" t="s">
        <v>17</v>
      </c>
      <c r="U12" s="769">
        <f t="shared" si="1"/>
        <v>100</v>
      </c>
      <c r="V12" s="768" t="s">
        <v>17</v>
      </c>
      <c r="W12" s="769">
        <f t="shared" si="2"/>
        <v>100</v>
      </c>
      <c r="X12" s="770"/>
      <c r="Y12" s="3170"/>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42"/>
      <c r="Q13" s="1789">
        <f t="shared" si="6"/>
        <v>111</v>
      </c>
      <c r="R13" s="768" t="s">
        <v>17</v>
      </c>
      <c r="S13" s="769">
        <f t="shared" si="0"/>
        <v>100</v>
      </c>
      <c r="T13" s="768" t="s">
        <v>17</v>
      </c>
      <c r="U13" s="769">
        <f t="shared" si="1"/>
        <v>100</v>
      </c>
      <c r="V13" s="768" t="s">
        <v>17</v>
      </c>
      <c r="W13" s="769">
        <f t="shared" si="2"/>
        <v>100</v>
      </c>
      <c r="X13" s="770"/>
      <c r="Y13" s="3170"/>
      <c r="Z13" s="55">
        <f t="shared" si="7"/>
        <v>111</v>
      </c>
      <c r="AA13" s="771">
        <f t="shared" si="3"/>
        <v>1</v>
      </c>
      <c r="AB13" s="771">
        <f t="shared" si="4"/>
        <v>1</v>
      </c>
      <c r="AC13" s="771">
        <f t="shared" si="5"/>
        <v>1</v>
      </c>
    </row>
    <row r="14" spans="1:29" ht="15.6"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42"/>
      <c r="Q14" s="1789">
        <f t="shared" si="6"/>
        <v>111</v>
      </c>
      <c r="R14" s="768" t="s">
        <v>17</v>
      </c>
      <c r="S14" s="769">
        <f t="shared" si="0"/>
        <v>100</v>
      </c>
      <c r="T14" s="768" t="s">
        <v>17</v>
      </c>
      <c r="U14" s="769">
        <f t="shared" si="1"/>
        <v>100</v>
      </c>
      <c r="V14" s="768" t="s">
        <v>17</v>
      </c>
      <c r="W14" s="769">
        <f t="shared" si="2"/>
        <v>100</v>
      </c>
      <c r="X14" s="770"/>
      <c r="Y14" s="3170"/>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44" t="s">
        <v>2542</v>
      </c>
      <c r="Q15" s="1804" t="str">
        <f t="shared" si="6"/>
        <v>产业集聚程度</v>
      </c>
      <c r="R15" s="772" t="s">
        <v>17</v>
      </c>
      <c r="S15" s="773">
        <f t="shared" si="0"/>
        <v>100</v>
      </c>
      <c r="T15" s="772" t="s">
        <v>17</v>
      </c>
      <c r="U15" s="773">
        <f t="shared" si="1"/>
        <v>100</v>
      </c>
      <c r="V15" s="772" t="s">
        <v>17</v>
      </c>
      <c r="W15" s="773">
        <f t="shared" si="2"/>
        <v>100</v>
      </c>
      <c r="X15" s="1807"/>
      <c r="Y15" s="3344"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45"/>
      <c r="Q16" s="1804"/>
      <c r="R16" s="772"/>
      <c r="S16" s="773"/>
      <c r="T16" s="772"/>
      <c r="U16" s="773"/>
      <c r="V16" s="772"/>
      <c r="W16" s="773"/>
      <c r="X16" s="1807"/>
      <c r="Y16" s="3345"/>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45"/>
      <c r="Q17" s="1804" t="str">
        <f>B17</f>
        <v>交通便捷度</v>
      </c>
      <c r="R17" s="772" t="s">
        <v>17</v>
      </c>
      <c r="S17" s="773">
        <f>F17</f>
        <v>100</v>
      </c>
      <c r="T17" s="772" t="s">
        <v>17</v>
      </c>
      <c r="U17" s="773">
        <f>H17</f>
        <v>100</v>
      </c>
      <c r="V17" s="772" t="s">
        <v>17</v>
      </c>
      <c r="W17" s="773">
        <f>J17</f>
        <v>100</v>
      </c>
      <c r="X17" s="1807"/>
      <c r="Y17" s="3345"/>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45"/>
      <c r="Q18" s="1804"/>
      <c r="R18" s="772"/>
      <c r="S18" s="773"/>
      <c r="T18" s="772"/>
      <c r="U18" s="773"/>
      <c r="V18" s="772"/>
      <c r="W18" s="773"/>
      <c r="X18" s="1807"/>
      <c r="Y18" s="3345"/>
      <c r="Z18" s="1808"/>
      <c r="AA18" s="1805">
        <v>1</v>
      </c>
      <c r="AB18" s="1805">
        <v>1</v>
      </c>
      <c r="AC18" s="1805">
        <v>1</v>
      </c>
    </row>
    <row r="19" spans="1:29" ht="28.8">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45"/>
      <c r="Q19" s="1804" t="str">
        <f t="shared" ref="Q19:Q33" si="8">B19</f>
        <v>区域土地利用方向</v>
      </c>
      <c r="R19" s="772" t="s">
        <v>17</v>
      </c>
      <c r="S19" s="773">
        <f>F19</f>
        <v>100</v>
      </c>
      <c r="T19" s="772" t="s">
        <v>17</v>
      </c>
      <c r="U19" s="773">
        <f>H19</f>
        <v>100</v>
      </c>
      <c r="V19" s="772" t="s">
        <v>17</v>
      </c>
      <c r="W19" s="773">
        <f>J19</f>
        <v>100</v>
      </c>
      <c r="X19" s="1807"/>
      <c r="Y19" s="3345"/>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45"/>
      <c r="Q20" s="1804"/>
      <c r="R20" s="772"/>
      <c r="S20" s="773"/>
      <c r="T20" s="772"/>
      <c r="U20" s="773"/>
      <c r="V20" s="772"/>
      <c r="W20" s="773"/>
      <c r="X20" s="1807"/>
      <c r="Y20" s="3345"/>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45"/>
      <c r="Q21" s="1804" t="str">
        <f t="shared" si="8"/>
        <v>环境状况</v>
      </c>
      <c r="R21" s="772" t="s">
        <v>17</v>
      </c>
      <c r="S21" s="773">
        <f>F21</f>
        <v>100</v>
      </c>
      <c r="T21" s="772" t="s">
        <v>17</v>
      </c>
      <c r="U21" s="773">
        <f>H21</f>
        <v>100</v>
      </c>
      <c r="V21" s="772" t="s">
        <v>17</v>
      </c>
      <c r="W21" s="773">
        <f>J21</f>
        <v>100</v>
      </c>
      <c r="X21" s="1807"/>
      <c r="Y21" s="3345"/>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45"/>
      <c r="Q22" s="1804"/>
      <c r="R22" s="772"/>
      <c r="S22" s="773"/>
      <c r="T22" s="772"/>
      <c r="U22" s="773"/>
      <c r="V22" s="772"/>
      <c r="W22" s="773"/>
      <c r="X22" s="1807"/>
      <c r="Y22" s="3345"/>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45"/>
      <c r="Q23" s="1789" t="str">
        <f t="shared" si="8"/>
        <v>公共配套设施</v>
      </c>
      <c r="R23" s="768" t="s">
        <v>17</v>
      </c>
      <c r="S23" s="769">
        <f>F23</f>
        <v>100</v>
      </c>
      <c r="T23" s="768" t="s">
        <v>17</v>
      </c>
      <c r="U23" s="769">
        <f>H23</f>
        <v>100</v>
      </c>
      <c r="V23" s="768" t="s">
        <v>17</v>
      </c>
      <c r="W23" s="769">
        <f>J23</f>
        <v>100</v>
      </c>
      <c r="X23" s="770"/>
      <c r="Y23" s="3345"/>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45"/>
      <c r="Q24" s="1789"/>
      <c r="R24" s="768"/>
      <c r="S24" s="769"/>
      <c r="T24" s="768"/>
      <c r="U24" s="769"/>
      <c r="V24" s="768"/>
      <c r="W24" s="769"/>
      <c r="X24" s="770"/>
      <c r="Y24" s="3345"/>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45"/>
      <c r="Q25" s="1789" t="str">
        <f t="shared" ref="Q25" si="9">B25</f>
        <v>基础设施水平</v>
      </c>
      <c r="R25" s="768" t="s">
        <v>17</v>
      </c>
      <c r="S25" s="769">
        <f>F25</f>
        <v>100</v>
      </c>
      <c r="T25" s="768" t="s">
        <v>17</v>
      </c>
      <c r="U25" s="769">
        <f>H25</f>
        <v>100</v>
      </c>
      <c r="V25" s="768" t="s">
        <v>17</v>
      </c>
      <c r="W25" s="769">
        <f>J25</f>
        <v>100</v>
      </c>
      <c r="X25" s="770"/>
      <c r="Y25" s="3345"/>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45"/>
      <c r="Q26" s="1789"/>
      <c r="R26" s="768"/>
      <c r="S26" s="769"/>
      <c r="T26" s="768"/>
      <c r="U26" s="769"/>
      <c r="V26" s="768"/>
      <c r="W26" s="769"/>
      <c r="X26" s="770"/>
      <c r="Y26" s="3345"/>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45"/>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45"/>
      <c r="Z27" s="1808" t="str">
        <f t="shared" ref="Z27:Z40" si="13">Q27</f>
        <v>临街状况</v>
      </c>
      <c r="AA27" s="1805">
        <f t="shared" si="3"/>
        <v>1</v>
      </c>
      <c r="AB27" s="1805">
        <f t="shared" si="4"/>
        <v>1</v>
      </c>
      <c r="AC27" s="1805">
        <f t="shared" si="5"/>
        <v>1</v>
      </c>
    </row>
    <row r="28" spans="1:29" ht="28.8">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45"/>
      <c r="Q28" s="1804" t="str">
        <f t="shared" si="8"/>
        <v>毗邻道路的类型与等级</v>
      </c>
      <c r="R28" s="772" t="s">
        <v>17</v>
      </c>
      <c r="S28" s="773">
        <f t="shared" si="10"/>
        <v>100</v>
      </c>
      <c r="T28" s="772" t="s">
        <v>17</v>
      </c>
      <c r="U28" s="773">
        <f t="shared" si="11"/>
        <v>100</v>
      </c>
      <c r="V28" s="772" t="s">
        <v>17</v>
      </c>
      <c r="W28" s="773">
        <f t="shared" si="12"/>
        <v>100</v>
      </c>
      <c r="X28" s="1807"/>
      <c r="Y28" s="3345"/>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45"/>
      <c r="Q29" s="1804"/>
      <c r="R29" s="772"/>
      <c r="S29" s="773"/>
      <c r="T29" s="772"/>
      <c r="U29" s="773"/>
      <c r="V29" s="772"/>
      <c r="W29" s="773"/>
      <c r="X29" s="1807"/>
      <c r="Y29" s="3345"/>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45"/>
      <c r="Q30" s="1804" t="str">
        <f t="shared" si="8"/>
        <v>土地级别</v>
      </c>
      <c r="R30" s="772" t="s">
        <v>17</v>
      </c>
      <c r="S30" s="773">
        <f t="shared" si="10"/>
        <v>100</v>
      </c>
      <c r="T30" s="772" t="s">
        <v>17</v>
      </c>
      <c r="U30" s="773">
        <f t="shared" si="11"/>
        <v>100</v>
      </c>
      <c r="V30" s="772" t="s">
        <v>17</v>
      </c>
      <c r="W30" s="773">
        <f t="shared" si="12"/>
        <v>100</v>
      </c>
      <c r="X30" s="1807"/>
      <c r="Y30" s="3345"/>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45"/>
      <c r="Q31" s="1804">
        <f t="shared" si="8"/>
        <v>111</v>
      </c>
      <c r="R31" s="772" t="s">
        <v>17</v>
      </c>
      <c r="S31" s="773">
        <f t="shared" si="10"/>
        <v>100</v>
      </c>
      <c r="T31" s="772" t="s">
        <v>17</v>
      </c>
      <c r="U31" s="773">
        <f t="shared" si="11"/>
        <v>100</v>
      </c>
      <c r="V31" s="772" t="s">
        <v>17</v>
      </c>
      <c r="W31" s="773">
        <f t="shared" si="12"/>
        <v>100</v>
      </c>
      <c r="X31" s="1807"/>
      <c r="Y31" s="3345"/>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46" t="s">
        <v>2547</v>
      </c>
      <c r="Q32" s="1804">
        <f t="shared" si="8"/>
        <v>111</v>
      </c>
      <c r="R32" s="772" t="s">
        <v>17</v>
      </c>
      <c r="S32" s="773">
        <f t="shared" si="10"/>
        <v>100</v>
      </c>
      <c r="T32" s="772" t="s">
        <v>17</v>
      </c>
      <c r="U32" s="773">
        <f t="shared" si="11"/>
        <v>100</v>
      </c>
      <c r="V32" s="772" t="s">
        <v>17</v>
      </c>
      <c r="W32" s="773">
        <f t="shared" si="12"/>
        <v>100</v>
      </c>
      <c r="X32" s="1807"/>
      <c r="Y32" s="3347" t="s">
        <v>2547</v>
      </c>
      <c r="Z32" s="1808">
        <f t="shared" si="13"/>
        <v>111</v>
      </c>
      <c r="AA32" s="1805">
        <f t="shared" si="3"/>
        <v>1</v>
      </c>
      <c r="AB32" s="1805">
        <f t="shared" si="4"/>
        <v>1</v>
      </c>
      <c r="AC32" s="1805">
        <f t="shared" si="5"/>
        <v>1</v>
      </c>
    </row>
    <row r="33" spans="1:29" s="469" customFormat="1" ht="15.6"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47"/>
      <c r="Q33" s="1804">
        <f t="shared" si="8"/>
        <v>111</v>
      </c>
      <c r="R33" s="775" t="s">
        <v>17</v>
      </c>
      <c r="S33" s="776">
        <f t="shared" si="10"/>
        <v>100</v>
      </c>
      <c r="T33" s="775" t="s">
        <v>17</v>
      </c>
      <c r="U33" s="776">
        <f t="shared" si="11"/>
        <v>100</v>
      </c>
      <c r="V33" s="775" t="s">
        <v>17</v>
      </c>
      <c r="W33" s="776">
        <f t="shared" si="12"/>
        <v>100</v>
      </c>
      <c r="X33" s="777"/>
      <c r="Y33" s="3347"/>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47"/>
      <c r="Q34" s="1804" t="str">
        <f>B34</f>
        <v>宗地面积</v>
      </c>
      <c r="R34" s="772" t="s">
        <v>17</v>
      </c>
      <c r="S34" s="773" t="e">
        <f t="shared" si="10"/>
        <v>#N/A</v>
      </c>
      <c r="T34" s="772" t="s">
        <v>17</v>
      </c>
      <c r="U34" s="773" t="e">
        <f t="shared" si="11"/>
        <v>#N/A</v>
      </c>
      <c r="V34" s="772" t="s">
        <v>17</v>
      </c>
      <c r="W34" s="773" t="e">
        <f t="shared" si="12"/>
        <v>#N/A</v>
      </c>
      <c r="X34" s="1807"/>
      <c r="Y34" s="3347"/>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47"/>
      <c r="Q35" s="1804" t="str">
        <f t="shared" ref="Q35:Q40" si="14">B35</f>
        <v>宗地形状</v>
      </c>
      <c r="R35" s="772" t="s">
        <v>17</v>
      </c>
      <c r="S35" s="773">
        <f t="shared" si="10"/>
        <v>100</v>
      </c>
      <c r="T35" s="772" t="s">
        <v>17</v>
      </c>
      <c r="U35" s="773">
        <f t="shared" si="11"/>
        <v>100</v>
      </c>
      <c r="V35" s="772" t="s">
        <v>17</v>
      </c>
      <c r="W35" s="773">
        <f t="shared" si="12"/>
        <v>100</v>
      </c>
      <c r="X35" s="1807"/>
      <c r="Y35" s="3347"/>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47"/>
      <c r="Q36" s="1804" t="str">
        <f t="shared" si="14"/>
        <v>宗地开发程度</v>
      </c>
      <c r="R36" s="768" t="s">
        <v>17</v>
      </c>
      <c r="S36" s="769">
        <f t="shared" si="10"/>
        <v>100</v>
      </c>
      <c r="T36" s="768" t="s">
        <v>17</v>
      </c>
      <c r="U36" s="769">
        <f t="shared" si="11"/>
        <v>100</v>
      </c>
      <c r="V36" s="768" t="s">
        <v>17</v>
      </c>
      <c r="W36" s="769">
        <f t="shared" si="12"/>
        <v>100</v>
      </c>
      <c r="X36" s="770"/>
      <c r="Y36" s="3347"/>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47" t="s">
        <v>2547</v>
      </c>
      <c r="Q37" s="1804" t="str">
        <f t="shared" si="14"/>
        <v>工程地质条件</v>
      </c>
      <c r="R37" s="772" t="s">
        <v>17</v>
      </c>
      <c r="S37" s="773">
        <f t="shared" si="10"/>
        <v>100</v>
      </c>
      <c r="T37" s="772" t="s">
        <v>17</v>
      </c>
      <c r="U37" s="773">
        <f t="shared" si="11"/>
        <v>100</v>
      </c>
      <c r="V37" s="772" t="s">
        <v>17</v>
      </c>
      <c r="W37" s="773">
        <f t="shared" si="12"/>
        <v>100</v>
      </c>
      <c r="X37" s="1807"/>
      <c r="Y37" s="3347"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47"/>
      <c r="Q38" s="1804">
        <f t="shared" si="14"/>
        <v>111</v>
      </c>
      <c r="R38" s="772" t="s">
        <v>17</v>
      </c>
      <c r="S38" s="773">
        <f t="shared" si="10"/>
        <v>100</v>
      </c>
      <c r="T38" s="772" t="s">
        <v>17</v>
      </c>
      <c r="U38" s="773">
        <f t="shared" si="11"/>
        <v>100</v>
      </c>
      <c r="V38" s="772" t="s">
        <v>17</v>
      </c>
      <c r="W38" s="773">
        <f t="shared" si="12"/>
        <v>100</v>
      </c>
      <c r="X38" s="1807"/>
      <c r="Y38" s="3347"/>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47"/>
      <c r="Q39" s="1804">
        <f t="shared" si="14"/>
        <v>111</v>
      </c>
      <c r="R39" s="772" t="s">
        <v>17</v>
      </c>
      <c r="S39" s="773">
        <f t="shared" si="10"/>
        <v>100</v>
      </c>
      <c r="T39" s="772" t="s">
        <v>17</v>
      </c>
      <c r="U39" s="773">
        <f t="shared" si="11"/>
        <v>100</v>
      </c>
      <c r="V39" s="772" t="s">
        <v>17</v>
      </c>
      <c r="W39" s="773">
        <f t="shared" si="12"/>
        <v>100</v>
      </c>
      <c r="X39" s="1807"/>
      <c r="Y39" s="3347"/>
      <c r="Z39" s="1808">
        <f t="shared" si="13"/>
        <v>111</v>
      </c>
      <c r="AA39" s="1805">
        <f t="shared" si="3"/>
        <v>1</v>
      </c>
      <c r="AB39" s="1805">
        <f t="shared" si="4"/>
        <v>1</v>
      </c>
      <c r="AC39" s="1805">
        <f t="shared" si="5"/>
        <v>1</v>
      </c>
    </row>
    <row r="40" spans="1:29" s="469" customFormat="1" ht="15.6"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47"/>
      <c r="Q40" s="1804">
        <f t="shared" si="14"/>
        <v>111</v>
      </c>
      <c r="R40" s="775" t="s">
        <v>17</v>
      </c>
      <c r="S40" s="776">
        <f t="shared" si="10"/>
        <v>100</v>
      </c>
      <c r="T40" s="775" t="s">
        <v>17</v>
      </c>
      <c r="U40" s="776">
        <f t="shared" si="11"/>
        <v>100</v>
      </c>
      <c r="V40" s="775" t="s">
        <v>17</v>
      </c>
      <c r="W40" s="776">
        <f t="shared" si="12"/>
        <v>100</v>
      </c>
      <c r="X40" s="777"/>
      <c r="Y40" s="3347"/>
      <c r="Z40" s="778">
        <f t="shared" si="13"/>
        <v>111</v>
      </c>
      <c r="AA40" s="1805">
        <f t="shared" si="3"/>
        <v>1</v>
      </c>
      <c r="AB40" s="1805">
        <f t="shared" si="4"/>
        <v>1</v>
      </c>
      <c r="AC40" s="1805">
        <f t="shared" si="5"/>
        <v>1</v>
      </c>
    </row>
    <row r="41" spans="1:29" ht="14.4">
      <c r="A41" s="477" t="s">
        <v>2702</v>
      </c>
      <c r="B41" s="2688" t="s">
        <v>2780</v>
      </c>
      <c r="C41" s="680" t="s">
        <v>1</v>
      </c>
      <c r="D41" s="479"/>
      <c r="E41" s="480"/>
      <c r="F41" s="481"/>
      <c r="G41" s="482"/>
      <c r="H41" s="483"/>
      <c r="I41" s="480"/>
      <c r="J41" s="483"/>
      <c r="K41" s="781"/>
      <c r="L41" s="1139"/>
      <c r="M41" s="1127"/>
      <c r="N41" s="1127"/>
      <c r="O41" s="1140"/>
      <c r="P41" s="3342" t="str">
        <f>A41</f>
        <v>成交单价</v>
      </c>
      <c r="Q41" s="3342"/>
      <c r="R41" s="3348">
        <f>E41</f>
        <v>0</v>
      </c>
      <c r="S41" s="3348"/>
      <c r="T41" s="3348">
        <f>G41</f>
        <v>0</v>
      </c>
      <c r="U41" s="3348"/>
      <c r="V41" s="3348">
        <f>I41</f>
        <v>0</v>
      </c>
      <c r="W41" s="3348"/>
      <c r="X41" s="757"/>
      <c r="Y41" s="779"/>
      <c r="Z41" s="757"/>
      <c r="AA41" s="757"/>
      <c r="AB41" s="757"/>
      <c r="AC41" s="757"/>
    </row>
    <row r="42" spans="1:29" ht="1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42" t="str">
        <f>A42</f>
        <v>比较价值（元/平方米）</v>
      </c>
      <c r="Q42" s="3342"/>
      <c r="R42" s="3335" t="e">
        <f>ROUND(PRODUCT(R41,AA7:AA40),0)</f>
        <v>#DIV/0!</v>
      </c>
      <c r="S42" s="3335"/>
      <c r="T42" s="3335" t="e">
        <f>ROUND(PRODUCT(T41,AB7:AB40),0)</f>
        <v>#DIV/0!</v>
      </c>
      <c r="U42" s="3335"/>
      <c r="V42" s="3335" t="e">
        <f>ROUND(PRODUCT(V41,AC7:AC40),0)</f>
        <v>#DIV/0!</v>
      </c>
      <c r="W42" s="3335"/>
      <c r="X42" s="757"/>
      <c r="Y42" s="757"/>
      <c r="Z42" s="757"/>
      <c r="AA42" s="757"/>
      <c r="AB42" s="757"/>
      <c r="AC42" s="757"/>
    </row>
    <row r="43" spans="1:29" ht="15" thickBot="1">
      <c r="A43" s="490" t="s">
        <v>2652</v>
      </c>
      <c r="B43" s="491"/>
      <c r="C43" s="492" t="e">
        <f>R43</f>
        <v>#DIV/0!</v>
      </c>
      <c r="D43" s="492"/>
      <c r="E43" s="492"/>
      <c r="F43" s="492"/>
      <c r="G43" s="492"/>
      <c r="H43" s="492"/>
      <c r="I43" s="492"/>
      <c r="J43" s="492"/>
      <c r="K43" s="783"/>
      <c r="L43" s="1139"/>
      <c r="M43" s="1127"/>
      <c r="N43" s="1127"/>
      <c r="O43" s="1140"/>
      <c r="P43" s="3336" t="str">
        <f>A43</f>
        <v>估价对象XX用房的比较价值（楼面单价，元/平方米）</v>
      </c>
      <c r="Q43" s="3337"/>
      <c r="R43" s="3338" t="e">
        <f>ROUND(AVERAGE(R42:V42),0)</f>
        <v>#DIV/0!</v>
      </c>
      <c r="S43" s="3338"/>
      <c r="T43" s="3338"/>
      <c r="U43" s="3338"/>
      <c r="V43" s="3338"/>
      <c r="W43" s="3338"/>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4.4" thickBot="1">
      <c r="A49" s="1141"/>
      <c r="B49" s="1142"/>
      <c r="C49" s="760"/>
      <c r="D49" s="758"/>
      <c r="E49" s="758"/>
      <c r="F49" s="758"/>
      <c r="G49" s="758"/>
      <c r="H49" s="758"/>
      <c r="I49" s="758"/>
      <c r="J49" s="758"/>
      <c r="K49" s="1144"/>
      <c r="L49" s="1145"/>
      <c r="M49" s="1141"/>
      <c r="N49" s="1141"/>
      <c r="O49" s="1141"/>
    </row>
    <row r="50" spans="1:17" ht="28.8">
      <c r="A50" s="682" t="s">
        <v>2738</v>
      </c>
      <c r="B50" s="683" t="s">
        <v>2739</v>
      </c>
      <c r="C50" s="2689" t="s">
        <v>2740</v>
      </c>
      <c r="D50" s="2690" t="s">
        <v>2741</v>
      </c>
      <c r="E50" s="684" t="s">
        <v>2742</v>
      </c>
      <c r="F50" s="685" t="s">
        <v>2743</v>
      </c>
      <c r="G50" s="3339" t="s">
        <v>2744</v>
      </c>
      <c r="H50" s="3340"/>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41"/>
      <c r="H51" s="3342"/>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43"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43"/>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43"/>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43"/>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4.4"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4.4"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2.2" thickBot="1">
      <c r="A64" s="761" t="s">
        <v>2656</v>
      </c>
      <c r="B64" s="757"/>
      <c r="C64" s="762"/>
      <c r="D64" s="762"/>
      <c r="E64" s="762"/>
      <c r="F64" s="763"/>
      <c r="G64" s="763"/>
      <c r="H64" s="762"/>
      <c r="I64" s="762"/>
      <c r="J64" s="762"/>
      <c r="K64" s="764"/>
      <c r="L64" s="765"/>
      <c r="M64" s="762"/>
      <c r="N64" s="762"/>
      <c r="O64" s="1155"/>
      <c r="P64" s="501"/>
      <c r="Q64" s="502"/>
    </row>
    <row r="65" spans="1:17" s="506" customFormat="1" ht="14.4">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 thickBot="1">
      <c r="A67" s="513" t="s">
        <v>2567</v>
      </c>
      <c r="B67" s="514"/>
      <c r="C67" s="515"/>
      <c r="D67" s="516"/>
      <c r="E67" s="516"/>
      <c r="F67" s="516"/>
      <c r="G67" s="516"/>
      <c r="H67" s="516"/>
      <c r="I67" s="516"/>
      <c r="J67" s="516"/>
      <c r="K67" s="516"/>
      <c r="L67" s="516"/>
      <c r="M67" s="517"/>
      <c r="N67" s="517"/>
      <c r="O67" s="518"/>
      <c r="P67" s="502"/>
      <c r="Q67" s="502"/>
    </row>
    <row r="68" spans="1:17" s="115" customFormat="1" ht="14.4">
      <c r="A68" s="519" t="s">
        <v>2532</v>
      </c>
      <c r="B68" s="508"/>
      <c r="C68" s="520" t="s">
        <v>2634</v>
      </c>
      <c r="D68" s="521"/>
      <c r="E68" s="521"/>
      <c r="F68" s="521"/>
      <c r="G68" s="521"/>
      <c r="H68" s="521"/>
      <c r="I68" s="521"/>
      <c r="J68" s="521"/>
      <c r="K68" s="521"/>
      <c r="L68" s="522"/>
      <c r="M68" s="523"/>
      <c r="N68" s="1147"/>
      <c r="O68" s="1147"/>
      <c r="P68" s="524"/>
      <c r="Q68" s="502"/>
    </row>
    <row r="69" spans="1:17" s="115" customFormat="1" ht="14.4" thickBot="1">
      <c r="A69" s="519"/>
      <c r="B69" s="508"/>
      <c r="C69" s="637">
        <v>100</v>
      </c>
      <c r="D69" s="510"/>
      <c r="E69" s="510"/>
      <c r="F69" s="510"/>
      <c r="G69" s="510"/>
      <c r="H69" s="510"/>
      <c r="I69" s="510"/>
      <c r="J69" s="510"/>
      <c r="K69" s="510"/>
      <c r="L69" s="510"/>
      <c r="M69" s="512"/>
      <c r="N69" s="1147"/>
      <c r="O69" s="1147"/>
      <c r="P69" s="502"/>
      <c r="Q69" s="502"/>
    </row>
    <row r="70" spans="1:17" ht="14.4">
      <c r="A70" s="525" t="s">
        <v>2570</v>
      </c>
      <c r="B70" s="526" t="s">
        <v>2536</v>
      </c>
      <c r="C70" s="528"/>
      <c r="D70" s="528"/>
      <c r="E70" s="528"/>
      <c r="F70" s="528"/>
      <c r="G70" s="528"/>
      <c r="H70" s="528"/>
      <c r="I70" s="528"/>
      <c r="J70" s="528"/>
      <c r="K70" s="529"/>
      <c r="L70" s="530"/>
      <c r="M70" s="531"/>
      <c r="N70" s="1148"/>
      <c r="O70" s="1148"/>
      <c r="P70" s="45"/>
      <c r="Q70" s="502"/>
    </row>
    <row r="71" spans="1:17" ht="14.4" thickBot="1">
      <c r="A71" s="532"/>
      <c r="B71" s="533"/>
      <c r="C71" s="534"/>
      <c r="D71" s="534"/>
      <c r="E71" s="534"/>
      <c r="F71" s="534"/>
      <c r="G71" s="534"/>
      <c r="H71" s="534"/>
      <c r="I71" s="534"/>
      <c r="J71" s="534"/>
      <c r="K71" s="534"/>
      <c r="L71" s="534"/>
      <c r="M71" s="535"/>
      <c r="N71" s="1149"/>
      <c r="O71" s="1149"/>
      <c r="P71" s="45"/>
      <c r="Q71" s="502"/>
    </row>
    <row r="72" spans="1:17" ht="29.4" thickTop="1">
      <c r="A72" s="532"/>
      <c r="B72" s="536" t="s">
        <v>2539</v>
      </c>
      <c r="C72" s="537"/>
      <c r="D72" s="537"/>
      <c r="E72" s="537"/>
      <c r="F72" s="537"/>
      <c r="G72" s="537"/>
      <c r="H72" s="537"/>
      <c r="I72" s="537"/>
      <c r="J72" s="537"/>
      <c r="K72" s="538"/>
      <c r="L72" s="539"/>
      <c r="M72" s="540"/>
      <c r="N72" s="1148"/>
      <c r="O72" s="1148"/>
      <c r="P72" s="45"/>
      <c r="Q72" s="502"/>
    </row>
    <row r="73" spans="1:17" ht="14.4" thickBot="1">
      <c r="A73" s="532"/>
      <c r="B73" s="541"/>
      <c r="C73" s="542"/>
      <c r="D73" s="542"/>
      <c r="E73" s="542"/>
      <c r="F73" s="542"/>
      <c r="G73" s="542"/>
      <c r="H73" s="542"/>
      <c r="I73" s="542"/>
      <c r="J73" s="542"/>
      <c r="K73" s="542"/>
      <c r="L73" s="542"/>
      <c r="M73" s="543"/>
      <c r="N73" s="1149"/>
      <c r="O73" s="1149"/>
      <c r="P73" s="45"/>
      <c r="Q73" s="502"/>
    </row>
    <row r="74" spans="1:17" ht="1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c r="A75" s="532"/>
      <c r="B75" s="546"/>
      <c r="C75" s="547"/>
      <c r="D75" s="547"/>
      <c r="E75" s="547"/>
      <c r="F75" s="547"/>
      <c r="G75" s="547"/>
      <c r="H75" s="547"/>
      <c r="I75" s="547"/>
      <c r="J75" s="547"/>
      <c r="K75" s="548"/>
      <c r="L75" s="549"/>
      <c r="M75" s="550"/>
      <c r="N75" s="1148"/>
      <c r="O75" s="1148"/>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4.4" thickTop="1">
      <c r="A77" s="551"/>
      <c r="B77" s="536">
        <f>B12</f>
        <v>111</v>
      </c>
      <c r="C77" s="552"/>
      <c r="D77" s="552"/>
      <c r="E77" s="552"/>
      <c r="F77" s="552"/>
      <c r="G77" s="552"/>
      <c r="H77" s="553"/>
      <c r="I77" s="553"/>
      <c r="J77" s="553"/>
      <c r="K77" s="553"/>
      <c r="L77" s="554"/>
      <c r="M77" s="555"/>
      <c r="N77" s="1150"/>
      <c r="O77" s="1150"/>
      <c r="P77" s="556"/>
      <c r="Q77" s="557"/>
    </row>
    <row r="78" spans="1:17" s="469" customFormat="1" ht="14.4" thickBot="1">
      <c r="A78" s="551"/>
      <c r="B78" s="541"/>
      <c r="C78" s="558"/>
      <c r="D78" s="534"/>
      <c r="E78" s="534"/>
      <c r="F78" s="534"/>
      <c r="G78" s="534"/>
      <c r="H78" s="534"/>
      <c r="I78" s="534"/>
      <c r="J78" s="534"/>
      <c r="K78" s="534"/>
      <c r="L78" s="534"/>
      <c r="M78" s="535"/>
      <c r="N78" s="1149"/>
      <c r="O78" s="1149"/>
      <c r="P78" s="556"/>
      <c r="Q78" s="557"/>
    </row>
    <row r="79" spans="1:17" s="469" customFormat="1" ht="14.4" thickTop="1">
      <c r="A79" s="551"/>
      <c r="B79" s="536">
        <f>B13</f>
        <v>111</v>
      </c>
      <c r="C79" s="552"/>
      <c r="D79" s="552"/>
      <c r="E79" s="552"/>
      <c r="F79" s="552"/>
      <c r="G79" s="552"/>
      <c r="H79" s="553"/>
      <c r="I79" s="553"/>
      <c r="J79" s="553"/>
      <c r="K79" s="553"/>
      <c r="L79" s="554"/>
      <c r="M79" s="555"/>
      <c r="N79" s="1150"/>
      <c r="O79" s="1150"/>
      <c r="P79" s="468"/>
      <c r="Q79" s="559"/>
    </row>
    <row r="80" spans="1:17" s="469" customFormat="1" ht="14.4" thickBot="1">
      <c r="A80" s="551"/>
      <c r="B80" s="541"/>
      <c r="C80" s="558"/>
      <c r="D80" s="558"/>
      <c r="E80" s="558"/>
      <c r="F80" s="558"/>
      <c r="G80" s="558"/>
      <c r="H80" s="560"/>
      <c r="I80" s="560"/>
      <c r="J80" s="560"/>
      <c r="K80" s="560"/>
      <c r="L80" s="560"/>
      <c r="M80" s="561"/>
      <c r="N80" s="1150"/>
      <c r="O80" s="1150"/>
      <c r="P80" s="556"/>
      <c r="Q80" s="557"/>
    </row>
    <row r="81" spans="1:17" s="469" customFormat="1" ht="14.4" thickTop="1">
      <c r="A81" s="551"/>
      <c r="B81" s="544">
        <f>B14</f>
        <v>111</v>
      </c>
      <c r="C81" s="521"/>
      <c r="D81" s="521"/>
      <c r="E81" s="521"/>
      <c r="F81" s="521"/>
      <c r="G81" s="521"/>
      <c r="H81" s="562"/>
      <c r="I81" s="562"/>
      <c r="J81" s="562"/>
      <c r="K81" s="562"/>
      <c r="L81" s="563"/>
      <c r="M81" s="564"/>
      <c r="N81" s="1150"/>
      <c r="O81" s="1150"/>
      <c r="P81" s="565"/>
      <c r="Q81" s="557"/>
    </row>
    <row r="82" spans="1:17" s="469" customFormat="1" ht="14.4" thickBot="1">
      <c r="A82" s="566"/>
      <c r="B82" s="567"/>
      <c r="C82" s="568"/>
      <c r="D82" s="568"/>
      <c r="E82" s="568"/>
      <c r="F82" s="568"/>
      <c r="G82" s="568"/>
      <c r="H82" s="569"/>
      <c r="I82" s="569"/>
      <c r="J82" s="569"/>
      <c r="K82" s="569"/>
      <c r="L82" s="569"/>
      <c r="M82" s="570"/>
      <c r="N82" s="1150"/>
      <c r="O82" s="1150"/>
      <c r="P82" s="556"/>
      <c r="Q82" s="557"/>
    </row>
    <row r="83" spans="1:17" ht="14.4">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29.4"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9.4"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9.4" thickTop="1">
      <c r="A97" s="532"/>
      <c r="B97" s="536" t="s">
        <v>2673</v>
      </c>
      <c r="C97" s="552"/>
      <c r="D97" s="552"/>
      <c r="E97" s="552"/>
      <c r="F97" s="552"/>
      <c r="G97" s="552"/>
      <c r="H97" s="581"/>
      <c r="I97" s="581"/>
      <c r="J97" s="581"/>
      <c r="K97" s="582"/>
      <c r="L97" s="583"/>
      <c r="M97" s="584"/>
      <c r="N97" s="1148"/>
      <c r="O97" s="1148"/>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 thickTop="1">
      <c r="A99" s="532"/>
      <c r="B99" s="536" t="s">
        <v>2731</v>
      </c>
      <c r="C99" s="581"/>
      <c r="D99" s="581"/>
      <c r="E99" s="581"/>
      <c r="F99" s="581"/>
      <c r="G99" s="581"/>
      <c r="H99" s="581"/>
      <c r="I99" s="581"/>
      <c r="J99" s="581"/>
      <c r="K99" s="582"/>
      <c r="L99" s="583"/>
      <c r="M99" s="584"/>
      <c r="N99" s="1148"/>
      <c r="O99" s="1148"/>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4.4" thickTop="1">
      <c r="A101" s="532"/>
      <c r="B101" s="544">
        <f>B31</f>
        <v>111</v>
      </c>
      <c r="C101" s="552"/>
      <c r="D101" s="552"/>
      <c r="E101" s="552"/>
      <c r="F101" s="552"/>
      <c r="G101" s="585"/>
      <c r="H101" s="585"/>
      <c r="I101" s="585"/>
      <c r="J101" s="585"/>
      <c r="K101" s="586"/>
      <c r="L101" s="587"/>
      <c r="M101" s="588"/>
      <c r="N101" s="1148"/>
      <c r="O101" s="1148"/>
      <c r="P101" s="45"/>
      <c r="Q101" s="502"/>
    </row>
    <row r="102" spans="1:17" ht="14.4" thickBot="1">
      <c r="A102" s="532"/>
      <c r="B102" s="567"/>
      <c r="C102" s="558"/>
      <c r="D102" s="534"/>
      <c r="E102" s="534"/>
      <c r="F102" s="534"/>
      <c r="G102" s="589"/>
      <c r="H102" s="589"/>
      <c r="I102" s="589"/>
      <c r="J102" s="589"/>
      <c r="K102" s="589"/>
      <c r="L102" s="589"/>
      <c r="M102" s="590"/>
      <c r="N102" s="1149"/>
      <c r="O102" s="1149"/>
      <c r="P102" s="45"/>
      <c r="Q102" s="502"/>
    </row>
    <row r="103" spans="1:17" ht="14.4" thickTop="1">
      <c r="A103" s="673"/>
      <c r="B103" s="536">
        <f>B32</f>
        <v>111</v>
      </c>
      <c r="C103" s="552"/>
      <c r="D103" s="552"/>
      <c r="E103" s="552"/>
      <c r="F103" s="552"/>
      <c r="G103" s="581"/>
      <c r="H103" s="581"/>
      <c r="I103" s="581"/>
      <c r="J103" s="581"/>
      <c r="K103" s="582"/>
      <c r="L103" s="583"/>
      <c r="M103" s="584"/>
      <c r="N103" s="1148"/>
      <c r="O103" s="1148"/>
      <c r="P103" s="45"/>
      <c r="Q103" s="502"/>
    </row>
    <row r="104" spans="1:17" ht="14.4" thickBot="1">
      <c r="A104" s="532"/>
      <c r="B104" s="541"/>
      <c r="C104" s="558"/>
      <c r="D104" s="558"/>
      <c r="E104" s="558"/>
      <c r="F104" s="558"/>
      <c r="G104" s="534"/>
      <c r="H104" s="534"/>
      <c r="I104" s="534"/>
      <c r="J104" s="534"/>
      <c r="K104" s="534"/>
      <c r="L104" s="534"/>
      <c r="M104" s="535"/>
      <c r="N104" s="1149"/>
      <c r="O104" s="1149"/>
      <c r="P104" s="45"/>
      <c r="Q104" s="502"/>
    </row>
    <row r="105" spans="1:17" s="469" customFormat="1" ht="14.4"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4.4" thickBot="1">
      <c r="A106" s="551"/>
      <c r="B106" s="544"/>
      <c r="C106" s="568"/>
      <c r="D106" s="568"/>
      <c r="E106" s="568"/>
      <c r="F106" s="568"/>
      <c r="G106" s="675"/>
      <c r="H106" s="675"/>
      <c r="I106" s="675"/>
      <c r="J106" s="675"/>
      <c r="K106" s="675"/>
      <c r="L106" s="675"/>
      <c r="M106" s="697"/>
      <c r="N106" s="1149"/>
      <c r="O106" s="1149"/>
      <c r="P106" s="556"/>
      <c r="Q106" s="557"/>
    </row>
    <row r="107" spans="1:17" ht="14.4">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c r="A108" s="532"/>
      <c r="B108" s="544"/>
      <c r="C108" s="593"/>
      <c r="D108" s="593"/>
      <c r="E108" s="593"/>
      <c r="F108" s="593"/>
      <c r="G108" s="593"/>
      <c r="H108" s="593"/>
      <c r="I108" s="593"/>
      <c r="J108" s="594"/>
      <c r="K108" s="594"/>
      <c r="L108" s="595"/>
      <c r="M108" s="596"/>
      <c r="N108" s="1148"/>
      <c r="O108" s="1148"/>
      <c r="P108" s="45"/>
      <c r="Q108" s="502"/>
    </row>
    <row r="109" spans="1:17" ht="14.4"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4.4" thickTop="1">
      <c r="A116" s="597"/>
      <c r="B116" s="536">
        <f>B38</f>
        <v>111</v>
      </c>
      <c r="C116" s="552"/>
      <c r="D116" s="552"/>
      <c r="E116" s="552"/>
      <c r="F116" s="552"/>
      <c r="G116" s="552"/>
      <c r="H116" s="581"/>
      <c r="I116" s="581"/>
      <c r="J116" s="581"/>
      <c r="K116" s="582"/>
      <c r="L116" s="583"/>
      <c r="M116" s="584"/>
      <c r="N116" s="1148"/>
      <c r="O116" s="1148"/>
      <c r="P116" s="45"/>
      <c r="Q116" s="502"/>
    </row>
    <row r="117" spans="1:17" ht="14.4" thickBot="1">
      <c r="A117" s="532"/>
      <c r="B117" s="541"/>
      <c r="C117" s="558"/>
      <c r="D117" s="534"/>
      <c r="E117" s="534"/>
      <c r="F117" s="534"/>
      <c r="G117" s="534"/>
      <c r="H117" s="534"/>
      <c r="I117" s="534"/>
      <c r="J117" s="534"/>
      <c r="K117" s="534"/>
      <c r="L117" s="534"/>
      <c r="M117" s="535"/>
      <c r="N117" s="1149"/>
      <c r="O117" s="1149"/>
      <c r="P117" s="45"/>
      <c r="Q117" s="502"/>
    </row>
    <row r="118" spans="1:17" ht="14.4" thickTop="1">
      <c r="A118" s="597"/>
      <c r="B118" s="536">
        <f>B39</f>
        <v>111</v>
      </c>
      <c r="C118" s="552"/>
      <c r="D118" s="552"/>
      <c r="E118" s="552"/>
      <c r="F118" s="552"/>
      <c r="G118" s="581"/>
      <c r="H118" s="581"/>
      <c r="I118" s="581"/>
      <c r="J118" s="581"/>
      <c r="K118" s="582"/>
      <c r="L118" s="583"/>
      <c r="M118" s="584"/>
      <c r="N118" s="1148"/>
      <c r="O118" s="1148"/>
      <c r="P118" s="45"/>
      <c r="Q118" s="502"/>
    </row>
    <row r="119" spans="1:17" ht="14.4" thickBot="1">
      <c r="A119" s="532"/>
      <c r="B119" s="541"/>
      <c r="C119" s="558"/>
      <c r="D119" s="558"/>
      <c r="E119" s="558"/>
      <c r="F119" s="558"/>
      <c r="G119" s="534"/>
      <c r="H119" s="534"/>
      <c r="I119" s="534"/>
      <c r="J119" s="534"/>
      <c r="K119" s="534"/>
      <c r="L119" s="534"/>
      <c r="M119" s="535"/>
      <c r="N119" s="1149"/>
      <c r="O119" s="1149"/>
      <c r="P119" s="45"/>
      <c r="Q119" s="502"/>
    </row>
    <row r="120" spans="1:17" s="469" customFormat="1" ht="14.4"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4.4"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2" customWidth="1"/>
    <col min="2" max="2" width="19.21875" style="2878" customWidth="1"/>
    <col min="3" max="4" width="12" style="2704"/>
    <col min="5" max="5" width="14.6640625" style="2704" customWidth="1"/>
    <col min="6" max="8" width="12" style="2704"/>
    <col min="9" max="9" width="12.21875" style="2704" bestFit="1" customWidth="1"/>
    <col min="10" max="10" width="12" style="2704"/>
    <col min="11" max="11" width="8.109375" style="2767" customWidth="1"/>
    <col min="12" max="12" width="12" style="2704"/>
    <col min="13" max="13" width="8.44140625" style="2704" customWidth="1"/>
    <col min="14" max="14" width="9.77734375" style="2704" customWidth="1"/>
    <col min="15" max="25" width="12" style="2704"/>
    <col min="26" max="26" width="9.33203125" style="2772" customWidth="1"/>
    <col min="27" max="32" width="9.33203125" style="1368" customWidth="1"/>
    <col min="33" max="36" width="9.33203125" style="2772" customWidth="1"/>
    <col min="37" max="38" width="9.33203125" style="2704" customWidth="1"/>
    <col min="39" max="16384" width="12" style="2704"/>
  </cols>
  <sheetData>
    <row r="1" spans="1:36" ht="31.2">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6">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6">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6">
      <c r="A4" s="3435"/>
      <c r="B4" s="3436"/>
      <c r="C4" s="3436"/>
      <c r="D4" s="3437"/>
      <c r="E4" s="3437"/>
      <c r="F4" s="3437"/>
      <c r="G4" s="3437"/>
      <c r="H4" s="3437"/>
      <c r="I4" s="3437"/>
      <c r="J4" s="3438"/>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6"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6"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39"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40"/>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32" t="s">
        <v>2820</v>
      </c>
      <c r="X8" s="3433"/>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40"/>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34"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40"/>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3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440"/>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34"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8" thickBot="1">
      <c r="A12" s="3439"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34"/>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41"/>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34"/>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41"/>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6" thickBot="1">
      <c r="A15" s="3442"/>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39" t="s">
        <v>2863</v>
      </c>
      <c r="B16" s="2729" t="s">
        <v>2864</v>
      </c>
      <c r="C16" s="2916" t="e">
        <f>ROUND(IF(F17="与级别开发程度一致",0,(G17-E17)/C17),0)</f>
        <v>#DIV/0!</v>
      </c>
      <c r="D16" s="3453" t="s">
        <v>2868</v>
      </c>
      <c r="E16" s="3454"/>
      <c r="F16" s="3453" t="s">
        <v>2865</v>
      </c>
      <c r="G16" s="3454"/>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8" thickBot="1">
      <c r="A17" s="3443"/>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9.4"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9.4"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4.4">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4">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9.4"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4.4">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8"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3.8">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36">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50"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451"/>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51"/>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8" thickBot="1">
      <c r="A36" s="3452"/>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8"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4.4">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5.2">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5.2">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24">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6.6"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24">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6.6"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24">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36">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36">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36.6"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4.4">
      <c r="A79" s="2850" t="s">
        <v>2948</v>
      </c>
      <c r="B79" s="2851">
        <f>1+E81</f>
        <v>1</v>
      </c>
      <c r="C79" s="812"/>
      <c r="D79" s="812"/>
      <c r="E79" s="813"/>
      <c r="F79" s="2853"/>
      <c r="G79" s="6"/>
      <c r="H79" s="6"/>
      <c r="I79" s="6"/>
      <c r="J79" s="7"/>
      <c r="K79" s="7"/>
      <c r="L79" s="7"/>
      <c r="M79" s="7"/>
      <c r="N79" s="7"/>
      <c r="Z79" s="2704"/>
      <c r="AA79" s="2772"/>
      <c r="AG79" s="1368"/>
      <c r="AK79" s="2772"/>
    </row>
    <row r="80" spans="1:37" ht="25.2">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24">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3.8">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36">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4.4"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44" t="s">
        <v>2952</v>
      </c>
      <c r="B90" s="3444"/>
      <c r="C90" s="3444"/>
      <c r="D90" s="3444"/>
      <c r="E90" s="3444"/>
      <c r="F90" s="3444"/>
      <c r="G90" s="3444"/>
      <c r="H90" s="3444"/>
      <c r="I90" s="3444"/>
      <c r="J90" s="3444"/>
      <c r="K90" s="2868"/>
      <c r="L90" s="2868"/>
      <c r="M90" s="2868"/>
      <c r="N90" s="2868"/>
    </row>
    <row r="91" spans="1:37">
      <c r="A91" s="3446" t="s">
        <v>2953</v>
      </c>
      <c r="B91" s="3446" t="s">
        <v>2954</v>
      </c>
      <c r="C91" s="2822" t="s">
        <v>2955</v>
      </c>
      <c r="D91" s="2823"/>
      <c r="E91" s="2823"/>
      <c r="F91" s="2823"/>
      <c r="G91" s="2823"/>
      <c r="H91" s="2823"/>
      <c r="I91" s="2823"/>
      <c r="J91" s="2869"/>
      <c r="K91" s="2870"/>
      <c r="L91" s="2870"/>
      <c r="M91" s="2870"/>
      <c r="N91" s="2870"/>
    </row>
    <row r="92" spans="1:37">
      <c r="A92" s="3446"/>
      <c r="B92" s="3446"/>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47"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48"/>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48"/>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48"/>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48"/>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48"/>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48"/>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49"/>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47"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48"/>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48"/>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48"/>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48"/>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48"/>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48"/>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48"/>
      <c r="B108" s="3305"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49"/>
      <c r="B109" s="3306"/>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45" t="s">
        <v>2960</v>
      </c>
      <c r="B110" s="3445"/>
      <c r="C110" s="3445"/>
      <c r="D110" s="3445"/>
      <c r="E110" s="3445"/>
      <c r="F110" s="3445"/>
      <c r="G110" s="3445"/>
      <c r="H110" s="3445"/>
      <c r="I110" s="3445"/>
      <c r="J110" s="3445"/>
      <c r="K110" s="2877"/>
      <c r="L110" s="2877"/>
      <c r="M110" s="2877"/>
      <c r="N110" s="2877"/>
    </row>
    <row r="112" spans="1:14" ht="13.8" thickBot="1"/>
    <row r="113" spans="1:13" ht="25.8"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8"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5" t="s">
        <v>183</v>
      </c>
      <c r="B18" s="880" t="s">
        <v>560</v>
      </c>
      <c r="C18" s="881" t="s">
        <v>561</v>
      </c>
      <c r="D18" s="882"/>
      <c r="E18" s="880">
        <v>1</v>
      </c>
      <c r="F18" s="883" t="s">
        <v>562</v>
      </c>
      <c r="G18" s="884"/>
      <c r="H18" s="876"/>
      <c r="I18" s="876"/>
    </row>
    <row r="19" spans="1:9" s="885" customFormat="1" ht="19.5" customHeight="1">
      <c r="A19" s="3455"/>
      <c r="B19" s="3455" t="s">
        <v>563</v>
      </c>
      <c r="C19" s="881" t="s">
        <v>564</v>
      </c>
      <c r="D19" s="882"/>
      <c r="E19" s="880">
        <v>0.9</v>
      </c>
      <c r="F19" s="883" t="s">
        <v>565</v>
      </c>
      <c r="G19" s="884"/>
      <c r="H19" s="876"/>
      <c r="I19" s="876"/>
    </row>
    <row r="20" spans="1:9" s="885" customFormat="1" ht="19.5" customHeight="1">
      <c r="A20" s="3455"/>
      <c r="B20" s="3455"/>
      <c r="C20" s="881" t="s">
        <v>566</v>
      </c>
      <c r="D20" s="882"/>
      <c r="E20" s="880">
        <v>1.1000000000000001</v>
      </c>
      <c r="F20" s="883" t="s">
        <v>567</v>
      </c>
      <c r="G20" s="884"/>
      <c r="H20" s="876"/>
      <c r="I20" s="876"/>
    </row>
    <row r="21" spans="1:9" s="885" customFormat="1" ht="19.5" customHeight="1">
      <c r="A21" s="3455"/>
      <c r="B21" s="3455"/>
      <c r="C21" s="881" t="s">
        <v>568</v>
      </c>
      <c r="D21" s="882"/>
      <c r="E21" s="880">
        <v>0.8</v>
      </c>
      <c r="F21" s="883" t="s">
        <v>569</v>
      </c>
      <c r="G21" s="884"/>
      <c r="H21" s="876"/>
      <c r="I21" s="876"/>
    </row>
    <row r="22" spans="1:9" s="885" customFormat="1" ht="19.5" customHeight="1">
      <c r="A22" s="3455"/>
      <c r="B22" s="3455"/>
      <c r="C22" s="881" t="s">
        <v>570</v>
      </c>
      <c r="D22" s="882"/>
      <c r="E22" s="880">
        <v>0.5</v>
      </c>
      <c r="F22" s="883"/>
      <c r="G22" s="884"/>
      <c r="H22" s="876"/>
      <c r="I22" s="876"/>
    </row>
    <row r="23" spans="1:9" s="885" customFormat="1" ht="19.5" customHeight="1">
      <c r="A23" s="3455" t="s">
        <v>184</v>
      </c>
      <c r="B23" s="880" t="s">
        <v>560</v>
      </c>
      <c r="C23" s="881" t="s">
        <v>571</v>
      </c>
      <c r="D23" s="882"/>
      <c r="E23" s="880">
        <v>1</v>
      </c>
      <c r="F23" s="883" t="s">
        <v>572</v>
      </c>
      <c r="G23" s="884"/>
      <c r="H23" s="876"/>
      <c r="I23" s="876"/>
    </row>
    <row r="24" spans="1:9" s="885" customFormat="1" ht="19.5" customHeight="1">
      <c r="A24" s="3455"/>
      <c r="B24" s="3455" t="s">
        <v>563</v>
      </c>
      <c r="C24" s="881" t="s">
        <v>573</v>
      </c>
      <c r="D24" s="882"/>
      <c r="E24" s="880">
        <v>0.5</v>
      </c>
      <c r="F24" s="883"/>
      <c r="G24" s="884"/>
      <c r="H24" s="876"/>
      <c r="I24" s="876"/>
    </row>
    <row r="25" spans="1:9" s="885" customFormat="1" ht="19.5" customHeight="1">
      <c r="A25" s="3455"/>
      <c r="B25" s="3455"/>
      <c r="C25" s="881" t="s">
        <v>574</v>
      </c>
      <c r="D25" s="882"/>
      <c r="E25" s="880">
        <v>1.1000000000000001</v>
      </c>
      <c r="F25" s="883"/>
      <c r="G25" s="884"/>
      <c r="H25" s="876"/>
      <c r="I25" s="876"/>
    </row>
    <row r="26" spans="1:9" s="885" customFormat="1" ht="19.5" customHeight="1">
      <c r="A26" s="3455"/>
      <c r="B26" s="3455"/>
      <c r="C26" s="881" t="s">
        <v>575</v>
      </c>
      <c r="D26" s="882"/>
      <c r="E26" s="880">
        <v>1.1000000000000001</v>
      </c>
      <c r="F26" s="883"/>
      <c r="G26" s="884"/>
      <c r="H26" s="876"/>
      <c r="I26" s="876"/>
    </row>
    <row r="27" spans="1:9" s="885" customFormat="1" ht="19.5" customHeight="1">
      <c r="A27" s="3455"/>
      <c r="B27" s="3455"/>
      <c r="C27" s="881" t="s">
        <v>576</v>
      </c>
      <c r="D27" s="882"/>
      <c r="E27" s="880">
        <v>0.9</v>
      </c>
      <c r="F27" s="883" t="s">
        <v>577</v>
      </c>
      <c r="G27" s="884"/>
      <c r="H27" s="876"/>
      <c r="I27" s="876"/>
    </row>
    <row r="28" spans="1:9" s="885" customFormat="1" ht="19.5" customHeight="1">
      <c r="A28" s="3455"/>
      <c r="B28" s="3455"/>
      <c r="C28" s="881" t="s">
        <v>578</v>
      </c>
      <c r="D28" s="882"/>
      <c r="E28" s="880">
        <v>0.9</v>
      </c>
      <c r="F28" s="883" t="s">
        <v>579</v>
      </c>
      <c r="G28" s="884"/>
      <c r="H28" s="876"/>
      <c r="I28" s="876"/>
    </row>
    <row r="29" spans="1:9" s="885" customFormat="1" ht="19.5" customHeight="1">
      <c r="A29" s="3455"/>
      <c r="B29" s="3455"/>
      <c r="C29" s="881" t="s">
        <v>580</v>
      </c>
      <c r="D29" s="882"/>
      <c r="E29" s="880">
        <v>0.9</v>
      </c>
      <c r="F29" s="883" t="s">
        <v>581</v>
      </c>
      <c r="G29" s="884"/>
      <c r="H29" s="876"/>
      <c r="I29" s="876"/>
    </row>
    <row r="30" spans="1:9" s="885" customFormat="1" ht="19.5" customHeight="1">
      <c r="A30" s="3455"/>
      <c r="B30" s="3455"/>
      <c r="C30" s="881" t="s">
        <v>582</v>
      </c>
      <c r="D30" s="882"/>
      <c r="E30" s="880">
        <v>0.9</v>
      </c>
      <c r="F30" s="883" t="s">
        <v>583</v>
      </c>
      <c r="G30" s="884"/>
      <c r="H30" s="876"/>
      <c r="I30" s="876"/>
    </row>
    <row r="31" spans="1:9" s="885" customFormat="1" ht="19.5" customHeight="1">
      <c r="A31" s="3455"/>
      <c r="B31" s="3455"/>
      <c r="C31" s="881" t="s">
        <v>584</v>
      </c>
      <c r="D31" s="882"/>
      <c r="E31" s="880">
        <v>0.8</v>
      </c>
      <c r="F31" s="883" t="s">
        <v>585</v>
      </c>
      <c r="G31" s="884"/>
      <c r="H31" s="876"/>
      <c r="I31" s="876"/>
    </row>
    <row r="32" spans="1:9" s="885" customFormat="1" ht="19.5" customHeight="1">
      <c r="A32" s="3455"/>
      <c r="B32" s="3455"/>
      <c r="C32" s="881" t="s">
        <v>586</v>
      </c>
      <c r="D32" s="882"/>
      <c r="E32" s="880">
        <v>0.8</v>
      </c>
      <c r="F32" s="883" t="s">
        <v>587</v>
      </c>
      <c r="G32" s="884"/>
      <c r="H32" s="876"/>
      <c r="I32" s="876"/>
    </row>
    <row r="33" spans="1:9" s="885" customFormat="1" ht="19.5" customHeight="1">
      <c r="A33" s="3455" t="s">
        <v>185</v>
      </c>
      <c r="B33" s="880" t="s">
        <v>560</v>
      </c>
      <c r="C33" s="881" t="s">
        <v>588</v>
      </c>
      <c r="D33" s="882"/>
      <c r="E33" s="880">
        <v>1</v>
      </c>
      <c r="F33" s="883" t="s">
        <v>589</v>
      </c>
      <c r="G33" s="884"/>
      <c r="H33" s="876"/>
      <c r="I33" s="876"/>
    </row>
    <row r="34" spans="1:9" s="885" customFormat="1" ht="19.5" customHeight="1">
      <c r="A34" s="3455"/>
      <c r="B34" s="880" t="s">
        <v>563</v>
      </c>
      <c r="C34" s="881" t="s">
        <v>590</v>
      </c>
      <c r="D34" s="882"/>
      <c r="E34" s="880">
        <v>1.5</v>
      </c>
      <c r="F34" s="883" t="s">
        <v>591</v>
      </c>
      <c r="G34" s="884"/>
      <c r="H34" s="876"/>
      <c r="I34" s="876"/>
    </row>
    <row r="35" spans="1:9" s="885" customFormat="1" ht="19.5" customHeight="1">
      <c r="A35" s="3455" t="s">
        <v>186</v>
      </c>
      <c r="B35" s="880" t="s">
        <v>560</v>
      </c>
      <c r="C35" s="881" t="s">
        <v>592</v>
      </c>
      <c r="D35" s="882"/>
      <c r="E35" s="880">
        <v>1</v>
      </c>
      <c r="F35" s="883" t="s">
        <v>593</v>
      </c>
      <c r="G35" s="884"/>
      <c r="H35" s="876"/>
      <c r="I35" s="876"/>
    </row>
    <row r="36" spans="1:9" s="885" customFormat="1" ht="19.5" customHeight="1">
      <c r="A36" s="3455"/>
      <c r="B36" s="3455" t="s">
        <v>563</v>
      </c>
      <c r="C36" s="881" t="s">
        <v>594</v>
      </c>
      <c r="D36" s="882"/>
      <c r="E36" s="880">
        <v>1</v>
      </c>
      <c r="F36" s="883" t="s">
        <v>595</v>
      </c>
      <c r="G36" s="884"/>
      <c r="H36" s="876"/>
      <c r="I36" s="876"/>
    </row>
    <row r="37" spans="1:9" s="885" customFormat="1" ht="19.5" customHeight="1">
      <c r="A37" s="3455"/>
      <c r="B37" s="3455"/>
      <c r="C37" s="881" t="s">
        <v>596</v>
      </c>
      <c r="D37" s="882"/>
      <c r="E37" s="880">
        <v>1.5</v>
      </c>
      <c r="F37" s="883" t="s">
        <v>597</v>
      </c>
      <c r="G37" s="884"/>
      <c r="H37" s="876"/>
      <c r="I37" s="876"/>
    </row>
    <row r="38" spans="1:9" s="885" customFormat="1" ht="19.5" customHeight="1">
      <c r="A38" s="3455"/>
      <c r="B38" s="3455"/>
      <c r="C38" s="881" t="s">
        <v>598</v>
      </c>
      <c r="D38" s="882"/>
      <c r="E38" s="880">
        <v>1</v>
      </c>
      <c r="F38" s="883" t="s">
        <v>599</v>
      </c>
      <c r="G38" s="884"/>
      <c r="H38" s="876"/>
      <c r="I38" s="876"/>
    </row>
    <row r="39" spans="1:9" s="885" customFormat="1" ht="19.5" customHeight="1">
      <c r="A39" s="3455"/>
      <c r="B39" s="345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38"/>
      <c r="B60" s="938"/>
      <c r="C60" s="938" t="s">
        <v>745</v>
      </c>
      <c r="D60" s="938"/>
      <c r="E60" s="893" t="s">
        <v>1</v>
      </c>
      <c r="F60" s="938" t="s">
        <v>1</v>
      </c>
    </row>
    <row r="61" spans="1:8" s="876" customFormat="1" ht="36">
      <c r="A61" s="880">
        <v>1</v>
      </c>
      <c r="B61" s="3455" t="s">
        <v>614</v>
      </c>
      <c r="C61" s="816" t="s">
        <v>615</v>
      </c>
      <c r="D61" s="816" t="s">
        <v>616</v>
      </c>
      <c r="E61" s="893">
        <v>0.5</v>
      </c>
      <c r="F61" s="880">
        <v>80</v>
      </c>
    </row>
    <row r="62" spans="1:8" s="876" customFormat="1" ht="36">
      <c r="A62" s="880">
        <v>2</v>
      </c>
      <c r="B62" s="3455"/>
      <c r="C62" s="816" t="s">
        <v>617</v>
      </c>
      <c r="D62" s="816" t="s">
        <v>618</v>
      </c>
      <c r="E62" s="893">
        <v>0.5</v>
      </c>
      <c r="F62" s="880">
        <v>80</v>
      </c>
    </row>
    <row r="63" spans="1:8" s="876" customFormat="1" ht="48">
      <c r="A63" s="880">
        <v>3</v>
      </c>
      <c r="B63" s="3455"/>
      <c r="C63" s="816" t="s">
        <v>619</v>
      </c>
      <c r="D63" s="816" t="s">
        <v>620</v>
      </c>
      <c r="E63" s="893">
        <v>0.5</v>
      </c>
      <c r="F63" s="880">
        <v>80</v>
      </c>
    </row>
    <row r="64" spans="1:8" s="876" customFormat="1" ht="48">
      <c r="A64" s="880">
        <v>4</v>
      </c>
      <c r="B64" s="3455"/>
      <c r="C64" s="816" t="s">
        <v>621</v>
      </c>
      <c r="D64" s="816" t="s">
        <v>622</v>
      </c>
      <c r="E64" s="893">
        <v>0.4</v>
      </c>
      <c r="F64" s="880">
        <v>60</v>
      </c>
    </row>
    <row r="65" spans="1:6" s="876" customFormat="1" ht="48">
      <c r="A65" s="880">
        <v>5</v>
      </c>
      <c r="B65" s="3455"/>
      <c r="C65" s="816" t="s">
        <v>623</v>
      </c>
      <c r="D65" s="816" t="s">
        <v>624</v>
      </c>
      <c r="E65" s="893">
        <v>0.2</v>
      </c>
      <c r="F65" s="880">
        <v>30</v>
      </c>
    </row>
    <row r="66" spans="1:6" s="876" customFormat="1" ht="48">
      <c r="A66" s="880">
        <v>6</v>
      </c>
      <c r="B66" s="3455"/>
      <c r="C66" s="816" t="s">
        <v>625</v>
      </c>
      <c r="D66" s="816" t="s">
        <v>626</v>
      </c>
      <c r="E66" s="893">
        <v>0.3</v>
      </c>
      <c r="F66" s="880">
        <v>50</v>
      </c>
    </row>
    <row r="67" spans="1:6" s="876" customFormat="1" ht="48">
      <c r="A67" s="880">
        <v>7</v>
      </c>
      <c r="B67" s="3455"/>
      <c r="C67" s="816" t="s">
        <v>627</v>
      </c>
      <c r="D67" s="816" t="s">
        <v>628</v>
      </c>
      <c r="E67" s="893">
        <v>0.2</v>
      </c>
      <c r="F67" s="880">
        <v>30</v>
      </c>
    </row>
    <row r="68" spans="1:6" s="876" customFormat="1" ht="48">
      <c r="A68" s="880">
        <v>8</v>
      </c>
      <c r="B68" s="3455"/>
      <c r="C68" s="816" t="s">
        <v>629</v>
      </c>
      <c r="D68" s="816" t="s">
        <v>630</v>
      </c>
      <c r="E68" s="893">
        <v>0.2</v>
      </c>
      <c r="F68" s="880">
        <v>30</v>
      </c>
    </row>
    <row r="69" spans="1:6" s="876" customFormat="1" ht="48">
      <c r="A69" s="880">
        <v>9</v>
      </c>
      <c r="B69" s="3455"/>
      <c r="C69" s="816" t="s">
        <v>631</v>
      </c>
      <c r="D69" s="816" t="s">
        <v>632</v>
      </c>
      <c r="E69" s="893">
        <v>0.2</v>
      </c>
      <c r="F69" s="880">
        <v>30</v>
      </c>
    </row>
    <row r="70" spans="1:6" s="876" customFormat="1" ht="60">
      <c r="A70" s="880">
        <v>10</v>
      </c>
      <c r="B70" s="3455"/>
      <c r="C70" s="816" t="s">
        <v>633</v>
      </c>
      <c r="D70" s="816" t="s">
        <v>634</v>
      </c>
      <c r="E70" s="893">
        <v>0.2</v>
      </c>
      <c r="F70" s="880">
        <v>30</v>
      </c>
    </row>
    <row r="71" spans="1:6" s="876" customFormat="1" ht="60">
      <c r="A71" s="880">
        <v>11</v>
      </c>
      <c r="B71" s="3455"/>
      <c r="C71" s="816" t="s">
        <v>635</v>
      </c>
      <c r="D71" s="816" t="s">
        <v>636</v>
      </c>
      <c r="E71" s="893">
        <v>0.2</v>
      </c>
      <c r="F71" s="880">
        <v>30</v>
      </c>
    </row>
    <row r="72" spans="1:6" s="876" customFormat="1" ht="36">
      <c r="A72" s="880">
        <v>12</v>
      </c>
      <c r="B72" s="3455"/>
      <c r="C72" s="816" t="s">
        <v>637</v>
      </c>
      <c r="D72" s="816" t="s">
        <v>638</v>
      </c>
      <c r="E72" s="893">
        <v>0.5</v>
      </c>
      <c r="F72" s="880">
        <v>80</v>
      </c>
    </row>
    <row r="73" spans="1:6" s="876" customFormat="1" ht="36">
      <c r="A73" s="880">
        <v>13</v>
      </c>
      <c r="B73" s="3455"/>
      <c r="C73" s="816" t="s">
        <v>639</v>
      </c>
      <c r="D73" s="816" t="s">
        <v>640</v>
      </c>
      <c r="E73" s="893">
        <v>0.4</v>
      </c>
      <c r="F73" s="880">
        <v>60</v>
      </c>
    </row>
    <row r="74" spans="1:6" s="876" customFormat="1" ht="36">
      <c r="A74" s="880">
        <v>14</v>
      </c>
      <c r="B74" s="3455"/>
      <c r="C74" s="816" t="s">
        <v>641</v>
      </c>
      <c r="D74" s="816" t="s">
        <v>642</v>
      </c>
      <c r="E74" s="893">
        <v>0.2</v>
      </c>
      <c r="F74" s="880">
        <v>30</v>
      </c>
    </row>
    <row r="75" spans="1:6" s="876" customFormat="1" ht="36">
      <c r="A75" s="880">
        <v>15</v>
      </c>
      <c r="B75" s="3455"/>
      <c r="C75" s="816" t="s">
        <v>643</v>
      </c>
      <c r="D75" s="816" t="s">
        <v>644</v>
      </c>
      <c r="E75" s="893">
        <v>0.2</v>
      </c>
      <c r="F75" s="880">
        <v>30</v>
      </c>
    </row>
    <row r="76" spans="1:6" s="876" customFormat="1" ht="36">
      <c r="A76" s="880">
        <v>16</v>
      </c>
      <c r="B76" s="3455" t="s">
        <v>645</v>
      </c>
      <c r="C76" s="816" t="s">
        <v>646</v>
      </c>
      <c r="D76" s="816" t="s">
        <v>647</v>
      </c>
      <c r="E76" s="893">
        <v>0.5</v>
      </c>
      <c r="F76" s="880">
        <v>80</v>
      </c>
    </row>
    <row r="77" spans="1:6" s="876" customFormat="1" ht="36">
      <c r="A77" s="880">
        <v>17</v>
      </c>
      <c r="B77" s="3455"/>
      <c r="C77" s="816" t="s">
        <v>648</v>
      </c>
      <c r="D77" s="816" t="s">
        <v>649</v>
      </c>
      <c r="E77" s="893">
        <v>0.5</v>
      </c>
      <c r="F77" s="880">
        <v>80</v>
      </c>
    </row>
    <row r="78" spans="1:6" s="876" customFormat="1" ht="36">
      <c r="A78" s="880">
        <v>18</v>
      </c>
      <c r="B78" s="3455"/>
      <c r="C78" s="816" t="s">
        <v>650</v>
      </c>
      <c r="D78" s="816" t="s">
        <v>651</v>
      </c>
      <c r="E78" s="893">
        <v>0.2</v>
      </c>
      <c r="F78" s="880">
        <v>30</v>
      </c>
    </row>
    <row r="79" spans="1:6" s="876" customFormat="1" ht="36">
      <c r="A79" s="880">
        <v>19</v>
      </c>
      <c r="B79" s="3455"/>
      <c r="C79" s="816" t="s">
        <v>652</v>
      </c>
      <c r="D79" s="816" t="s">
        <v>653</v>
      </c>
      <c r="E79" s="893">
        <v>0.5</v>
      </c>
      <c r="F79" s="880">
        <v>80</v>
      </c>
    </row>
    <row r="80" spans="1:6" s="876" customFormat="1" ht="36">
      <c r="A80" s="880">
        <v>20</v>
      </c>
      <c r="B80" s="3455"/>
      <c r="C80" s="816" t="s">
        <v>654</v>
      </c>
      <c r="D80" s="816" t="s">
        <v>655</v>
      </c>
      <c r="E80" s="893">
        <v>0.2</v>
      </c>
      <c r="F80" s="880">
        <v>30</v>
      </c>
    </row>
    <row r="81" spans="1:6" s="876" customFormat="1" ht="36">
      <c r="A81" s="880">
        <v>21</v>
      </c>
      <c r="B81" s="3455"/>
      <c r="C81" s="816" t="s">
        <v>656</v>
      </c>
      <c r="D81" s="816" t="s">
        <v>657</v>
      </c>
      <c r="E81" s="893">
        <v>0.2</v>
      </c>
      <c r="F81" s="880">
        <v>30</v>
      </c>
    </row>
    <row r="82" spans="1:6" s="876" customFormat="1" ht="60">
      <c r="A82" s="880">
        <v>22</v>
      </c>
      <c r="B82" s="3455"/>
      <c r="C82" s="816" t="s">
        <v>658</v>
      </c>
      <c r="D82" s="816" t="s">
        <v>659</v>
      </c>
      <c r="E82" s="893">
        <v>0.2</v>
      </c>
      <c r="F82" s="880">
        <v>30</v>
      </c>
    </row>
    <row r="83" spans="1:6" s="876" customFormat="1" ht="60">
      <c r="A83" s="880">
        <v>23</v>
      </c>
      <c r="B83" s="3455"/>
      <c r="C83" s="816" t="s">
        <v>660</v>
      </c>
      <c r="D83" s="816" t="s">
        <v>661</v>
      </c>
      <c r="E83" s="893">
        <v>0.2</v>
      </c>
      <c r="F83" s="880">
        <v>30</v>
      </c>
    </row>
    <row r="84" spans="1:6" s="876" customFormat="1" ht="48">
      <c r="A84" s="880">
        <v>24</v>
      </c>
      <c r="B84" s="3455"/>
      <c r="C84" s="816" t="s">
        <v>662</v>
      </c>
      <c r="D84" s="816" t="s">
        <v>663</v>
      </c>
      <c r="E84" s="893">
        <v>0.2</v>
      </c>
      <c r="F84" s="880">
        <v>30</v>
      </c>
    </row>
    <row r="85" spans="1:6" s="876" customFormat="1" ht="36">
      <c r="A85" s="880">
        <v>25</v>
      </c>
      <c r="B85" s="3455"/>
      <c r="C85" s="816" t="s">
        <v>664</v>
      </c>
      <c r="D85" s="816" t="s">
        <v>665</v>
      </c>
      <c r="E85" s="893">
        <v>0.5</v>
      </c>
      <c r="F85" s="880">
        <v>80</v>
      </c>
    </row>
    <row r="86" spans="1:6" s="876" customFormat="1" ht="36">
      <c r="A86" s="880">
        <v>26</v>
      </c>
      <c r="B86" s="3455"/>
      <c r="C86" s="816" t="s">
        <v>666</v>
      </c>
      <c r="D86" s="816" t="s">
        <v>667</v>
      </c>
      <c r="E86" s="893">
        <v>0.2</v>
      </c>
      <c r="F86" s="880">
        <v>30</v>
      </c>
    </row>
    <row r="87" spans="1:6" s="876" customFormat="1" ht="36">
      <c r="A87" s="880">
        <v>27</v>
      </c>
      <c r="B87" s="3455"/>
      <c r="C87" s="816" t="s">
        <v>668</v>
      </c>
      <c r="D87" s="816" t="s">
        <v>669</v>
      </c>
      <c r="E87" s="893">
        <v>0.2</v>
      </c>
      <c r="F87" s="880">
        <v>30</v>
      </c>
    </row>
    <row r="88" spans="1:6" s="876" customFormat="1" ht="36">
      <c r="A88" s="880">
        <v>28</v>
      </c>
      <c r="B88" s="3455"/>
      <c r="C88" s="816" t="s">
        <v>670</v>
      </c>
      <c r="D88" s="816" t="s">
        <v>671</v>
      </c>
      <c r="E88" s="893">
        <v>0.2</v>
      </c>
      <c r="F88" s="880">
        <v>30</v>
      </c>
    </row>
    <row r="89" spans="1:6" s="876" customFormat="1" ht="36">
      <c r="A89" s="880">
        <v>29</v>
      </c>
      <c r="B89" s="3455"/>
      <c r="C89" s="816" t="s">
        <v>672</v>
      </c>
      <c r="D89" s="816" t="s">
        <v>673</v>
      </c>
      <c r="E89" s="893">
        <v>0.2</v>
      </c>
      <c r="F89" s="880">
        <v>30</v>
      </c>
    </row>
    <row r="90" spans="1:6" s="876" customFormat="1" ht="36">
      <c r="A90" s="880">
        <v>30</v>
      </c>
      <c r="B90" s="3455"/>
      <c r="C90" s="816" t="s">
        <v>674</v>
      </c>
      <c r="D90" s="816" t="s">
        <v>675</v>
      </c>
      <c r="E90" s="893">
        <v>0.2</v>
      </c>
      <c r="F90" s="880">
        <v>30</v>
      </c>
    </row>
    <row r="91" spans="1:6" s="876" customFormat="1" ht="48">
      <c r="A91" s="880">
        <v>31</v>
      </c>
      <c r="B91" s="3455"/>
      <c r="C91" s="816" t="s">
        <v>676</v>
      </c>
      <c r="D91" s="816" t="s">
        <v>677</v>
      </c>
      <c r="E91" s="893">
        <v>0.2</v>
      </c>
      <c r="F91" s="880">
        <v>30</v>
      </c>
    </row>
    <row r="92" spans="1:6" s="876" customFormat="1" ht="36">
      <c r="A92" s="880">
        <v>32</v>
      </c>
      <c r="B92" s="3455" t="s">
        <v>678</v>
      </c>
      <c r="C92" s="880" t="s">
        <v>679</v>
      </c>
      <c r="D92" s="816" t="s">
        <v>680</v>
      </c>
      <c r="E92" s="893">
        <v>0.2</v>
      </c>
      <c r="F92" s="880">
        <v>30</v>
      </c>
    </row>
    <row r="93" spans="1:6" s="876" customFormat="1" ht="36">
      <c r="A93" s="880">
        <v>33</v>
      </c>
      <c r="B93" s="3455"/>
      <c r="C93" s="880" t="s">
        <v>681</v>
      </c>
      <c r="D93" s="816" t="s">
        <v>682</v>
      </c>
      <c r="E93" s="893">
        <v>0.2</v>
      </c>
      <c r="F93" s="880">
        <v>30</v>
      </c>
    </row>
    <row r="94" spans="1:6" s="876" customFormat="1" ht="60">
      <c r="A94" s="880">
        <v>34</v>
      </c>
      <c r="B94" s="3455"/>
      <c r="C94" s="880" t="s">
        <v>683</v>
      </c>
      <c r="D94" s="816" t="s">
        <v>684</v>
      </c>
      <c r="E94" s="893">
        <v>0.2</v>
      </c>
      <c r="F94" s="880">
        <v>30</v>
      </c>
    </row>
    <row r="95" spans="1:6" s="876" customFormat="1" ht="48">
      <c r="A95" s="880">
        <v>35</v>
      </c>
      <c r="B95" s="3455"/>
      <c r="C95" s="880" t="s">
        <v>685</v>
      </c>
      <c r="D95" s="816" t="s">
        <v>686</v>
      </c>
      <c r="E95" s="893">
        <v>0.2</v>
      </c>
      <c r="F95" s="880">
        <v>30</v>
      </c>
    </row>
    <row r="96" spans="1:6" s="876" customFormat="1" ht="72">
      <c r="A96" s="880">
        <v>36</v>
      </c>
      <c r="B96" s="3455"/>
      <c r="C96" s="816" t="s">
        <v>687</v>
      </c>
      <c r="D96" s="816" t="s">
        <v>688</v>
      </c>
      <c r="E96" s="893">
        <v>0.2</v>
      </c>
      <c r="F96" s="880">
        <v>30</v>
      </c>
    </row>
    <row r="97" spans="1:6" s="876" customFormat="1" ht="36">
      <c r="A97" s="880">
        <v>37</v>
      </c>
      <c r="B97" s="3455"/>
      <c r="C97" s="880" t="s">
        <v>689</v>
      </c>
      <c r="D97" s="816" t="s">
        <v>690</v>
      </c>
      <c r="E97" s="893">
        <v>0.2</v>
      </c>
      <c r="F97" s="880">
        <v>30</v>
      </c>
    </row>
    <row r="98" spans="1:6" s="876" customFormat="1" ht="36">
      <c r="A98" s="880">
        <v>38</v>
      </c>
      <c r="B98" s="3455"/>
      <c r="C98" s="880" t="s">
        <v>691</v>
      </c>
      <c r="D98" s="816" t="s">
        <v>692</v>
      </c>
      <c r="E98" s="893">
        <v>0.2</v>
      </c>
      <c r="F98" s="880">
        <v>30</v>
      </c>
    </row>
    <row r="99" spans="1:6" s="876" customFormat="1" ht="36">
      <c r="A99" s="880">
        <v>39</v>
      </c>
      <c r="B99" s="3455" t="s">
        <v>693</v>
      </c>
      <c r="C99" s="880" t="s">
        <v>694</v>
      </c>
      <c r="D99" s="816" t="s">
        <v>695</v>
      </c>
      <c r="E99" s="893">
        <v>0.3</v>
      </c>
      <c r="F99" s="880">
        <v>50</v>
      </c>
    </row>
    <row r="100" spans="1:6" s="876" customFormat="1" ht="36">
      <c r="A100" s="880">
        <v>40</v>
      </c>
      <c r="B100" s="3455"/>
      <c r="C100" s="880" t="s">
        <v>696</v>
      </c>
      <c r="D100" s="816" t="s">
        <v>697</v>
      </c>
      <c r="E100" s="893">
        <v>0.2</v>
      </c>
      <c r="F100" s="880">
        <v>30</v>
      </c>
    </row>
    <row r="101" spans="1:6" s="876" customFormat="1" ht="36">
      <c r="A101" s="880">
        <v>41</v>
      </c>
      <c r="B101" s="3455"/>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455" t="s">
        <v>708</v>
      </c>
      <c r="C105" s="880" t="s">
        <v>709</v>
      </c>
      <c r="D105" s="816" t="s">
        <v>710</v>
      </c>
      <c r="E105" s="893">
        <v>0.2</v>
      </c>
      <c r="F105" s="880">
        <v>30</v>
      </c>
    </row>
    <row r="106" spans="1:6" s="876" customFormat="1" ht="48">
      <c r="A106" s="880">
        <v>46</v>
      </c>
      <c r="B106" s="3455"/>
      <c r="C106" s="880" t="s">
        <v>711</v>
      </c>
      <c r="D106" s="816" t="s">
        <v>712</v>
      </c>
      <c r="E106" s="893">
        <v>0.2</v>
      </c>
      <c r="F106" s="880">
        <v>30</v>
      </c>
    </row>
    <row r="107" spans="1:6" s="876" customFormat="1" ht="36">
      <c r="A107" s="880">
        <v>47</v>
      </c>
      <c r="B107" s="3455" t="s">
        <v>713</v>
      </c>
      <c r="C107" s="880" t="s">
        <v>714</v>
      </c>
      <c r="D107" s="816" t="s">
        <v>715</v>
      </c>
      <c r="E107" s="893">
        <v>0.3</v>
      </c>
      <c r="F107" s="880">
        <v>50</v>
      </c>
    </row>
    <row r="108" spans="1:6" s="876" customFormat="1" ht="48">
      <c r="A108" s="880">
        <v>48</v>
      </c>
      <c r="B108" s="345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455" t="s">
        <v>724</v>
      </c>
      <c r="C111" s="880" t="s">
        <v>725</v>
      </c>
      <c r="D111" s="816" t="s">
        <v>726</v>
      </c>
      <c r="E111" s="893">
        <v>0.2</v>
      </c>
      <c r="F111" s="880">
        <v>30</v>
      </c>
    </row>
    <row r="112" spans="1:6" s="876" customFormat="1" ht="36">
      <c r="A112" s="880">
        <v>52</v>
      </c>
      <c r="B112" s="3455"/>
      <c r="C112" s="880" t="s">
        <v>727</v>
      </c>
      <c r="D112" s="816" t="s">
        <v>728</v>
      </c>
      <c r="E112" s="893">
        <v>0.2</v>
      </c>
      <c r="F112" s="880">
        <v>30</v>
      </c>
    </row>
    <row r="113" spans="1:6" s="876" customFormat="1" ht="36">
      <c r="A113" s="880">
        <v>53</v>
      </c>
      <c r="B113" s="3455"/>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455" t="s">
        <v>737</v>
      </c>
      <c r="C116" s="880" t="s">
        <v>738</v>
      </c>
      <c r="D116" s="816" t="s">
        <v>739</v>
      </c>
      <c r="E116" s="893">
        <v>0.2</v>
      </c>
      <c r="F116" s="880">
        <v>30</v>
      </c>
    </row>
    <row r="117" spans="1:6" ht="36">
      <c r="A117" s="880">
        <v>57</v>
      </c>
      <c r="B117" s="3455"/>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8" customWidth="1"/>
    <col min="2" max="2" width="12.44140625" style="1938" customWidth="1"/>
    <col min="3" max="3" width="12.109375" style="1938" customWidth="1"/>
    <col min="4" max="4" width="14.109375" style="1938" customWidth="1"/>
    <col min="5" max="5" width="12.44140625" style="1938" customWidth="1"/>
    <col min="6" max="16384" width="9" style="1938"/>
  </cols>
  <sheetData>
    <row r="1" spans="1:5" ht="21.6">
      <c r="A1" s="2545" t="s">
        <v>2983</v>
      </c>
    </row>
    <row r="2" spans="1:5" ht="15.6">
      <c r="A2" s="2886" t="s">
        <v>2975</v>
      </c>
      <c r="B2" s="2887" t="e">
        <f ca="1">SUMIF(B6:B13,"&lt;&gt;#ref!",B6:B13)</f>
        <v>#DIV/0!</v>
      </c>
      <c r="C2" s="2886" t="s">
        <v>2976</v>
      </c>
      <c r="D2" s="2886" t="s">
        <v>2977</v>
      </c>
      <c r="E2" s="2887">
        <f ca="1">SUMIF(E6:E13,"&lt;&gt;#ref!",E6:E13)</f>
        <v>0</v>
      </c>
    </row>
    <row r="3" spans="1:5" ht="15.6">
      <c r="A3" s="2886" t="s">
        <v>2978</v>
      </c>
      <c r="B3" s="2887" t="e">
        <f ca="1">ROUND(B2*10000/E2,0)</f>
        <v>#DIV/0!</v>
      </c>
      <c r="C3" s="2886" t="s">
        <v>2984</v>
      </c>
      <c r="D3" s="2888"/>
      <c r="E3" s="2888"/>
    </row>
    <row r="4" spans="1:5" ht="15.6">
      <c r="A4" s="2889"/>
      <c r="B4" s="2888"/>
      <c r="C4" s="2888"/>
      <c r="D4" s="2888"/>
      <c r="E4" s="2888"/>
    </row>
    <row r="5" spans="1:5" ht="31.2">
      <c r="A5" s="2890" t="s">
        <v>2979</v>
      </c>
      <c r="B5" s="2886" t="s">
        <v>2980</v>
      </c>
      <c r="C5" s="2887"/>
      <c r="D5" s="2888"/>
      <c r="E5" s="2886" t="s">
        <v>2981</v>
      </c>
    </row>
    <row r="6" spans="1:5" ht="15.6">
      <c r="A6" s="2891" t="s">
        <v>2982</v>
      </c>
      <c r="B6" s="2887" t="e">
        <f ca="1">SUMIF(INDIRECT("'"&amp;A6&amp;"'"&amp;"!A:A"),"总价",INDIRECT("'"&amp;A6&amp;"'"&amp;"!B:B"))</f>
        <v>#DIV/0!</v>
      </c>
      <c r="C6" s="2886" t="s">
        <v>2976</v>
      </c>
      <c r="D6" s="2888"/>
      <c r="E6" s="2559">
        <f ca="1">SUMIF(INDIRECT("'"&amp;A6&amp;"'"&amp;"!C:C"),"建筑面积",INDIRECT("'"&amp;A6&amp;"'"&amp;"!D:D"))</f>
        <v>0</v>
      </c>
    </row>
    <row r="7" spans="1:5" ht="15.6">
      <c r="A7" s="2891"/>
      <c r="B7" s="2887" t="e">
        <f ca="1">SUMIF(INDIRECT("'"&amp;A7&amp;"'"&amp;"!A:A"),"总价",INDIRECT("'"&amp;A7&amp;"'"&amp;"!B:B"))</f>
        <v>#REF!</v>
      </c>
      <c r="C7" s="2886" t="s">
        <v>2976</v>
      </c>
      <c r="D7" s="2888"/>
      <c r="E7" s="2559" t="e">
        <f t="shared" ref="E7:E13" ca="1" si="0">SUMIF(INDIRECT("'"&amp;A7&amp;"'"&amp;"!C:C"),"建筑面积",INDIRECT("'"&amp;A7&amp;"'"&amp;"!D:D"))</f>
        <v>#REF!</v>
      </c>
    </row>
    <row r="8" spans="1:5" ht="15.6">
      <c r="A8" s="2891"/>
      <c r="B8" s="2887" t="e">
        <f t="shared" ref="B8:B13" ca="1" si="1">SUMIF(INDIRECT("'"&amp;A8&amp;"'"&amp;"!A:A"),"总价",INDIRECT("'"&amp;A8&amp;"'"&amp;"!B:B"))</f>
        <v>#REF!</v>
      </c>
      <c r="C8" s="2886" t="s">
        <v>2976</v>
      </c>
      <c r="D8" s="2888"/>
      <c r="E8" s="2559" t="e">
        <f t="shared" ca="1" si="0"/>
        <v>#REF!</v>
      </c>
    </row>
    <row r="9" spans="1:5" ht="15.6">
      <c r="A9" s="2891"/>
      <c r="B9" s="2887" t="e">
        <f t="shared" ca="1" si="1"/>
        <v>#REF!</v>
      </c>
      <c r="C9" s="2886" t="s">
        <v>2976</v>
      </c>
      <c r="D9" s="2888"/>
      <c r="E9" s="2559" t="e">
        <f t="shared" ca="1" si="0"/>
        <v>#REF!</v>
      </c>
    </row>
    <row r="10" spans="1:5" ht="15.6">
      <c r="A10" s="2891"/>
      <c r="B10" s="2887" t="e">
        <f t="shared" ca="1" si="1"/>
        <v>#REF!</v>
      </c>
      <c r="C10" s="2886" t="s">
        <v>2976</v>
      </c>
      <c r="D10" s="2888"/>
      <c r="E10" s="2559" t="e">
        <f t="shared" ca="1" si="0"/>
        <v>#REF!</v>
      </c>
    </row>
    <row r="11" spans="1:5" ht="15.6">
      <c r="A11" s="2891"/>
      <c r="B11" s="2887" t="e">
        <f t="shared" ca="1" si="1"/>
        <v>#REF!</v>
      </c>
      <c r="C11" s="2886" t="s">
        <v>2976</v>
      </c>
      <c r="D11" s="2888"/>
      <c r="E11" s="2559" t="e">
        <f t="shared" ca="1" si="0"/>
        <v>#REF!</v>
      </c>
    </row>
    <row r="12" spans="1:5" ht="15.6">
      <c r="A12" s="2891"/>
      <c r="B12" s="2887" t="e">
        <f t="shared" ca="1" si="1"/>
        <v>#REF!</v>
      </c>
      <c r="C12" s="2886" t="s">
        <v>2976</v>
      </c>
      <c r="D12" s="2888"/>
      <c r="E12" s="2559" t="e">
        <f t="shared" ca="1" si="0"/>
        <v>#REF!</v>
      </c>
    </row>
    <row r="13" spans="1:5" ht="15.6">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6" sqref="K6"/>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461" t="s">
        <v>1145</v>
      </c>
      <c r="C1" s="3461"/>
      <c r="D1" s="3461"/>
      <c r="E1" s="3461"/>
      <c r="F1" s="3461"/>
      <c r="G1" s="3460" t="s">
        <v>1146</v>
      </c>
      <c r="H1" s="3460"/>
      <c r="I1" s="3460"/>
      <c r="J1" s="3460"/>
      <c r="K1" s="3460"/>
      <c r="L1" s="3460"/>
      <c r="N1" s="3460" t="s">
        <v>1147</v>
      </c>
      <c r="O1" s="3460"/>
      <c r="P1" s="3460"/>
      <c r="Q1" s="3460"/>
      <c r="R1" s="1441"/>
      <c r="S1" s="3460" t="s">
        <v>1148</v>
      </c>
      <c r="T1" s="3460"/>
      <c r="U1" s="3460"/>
      <c r="V1" s="3460"/>
      <c r="X1" s="3459" t="s">
        <v>1149</v>
      </c>
      <c r="Y1" s="3460"/>
      <c r="Z1" s="3460"/>
      <c r="AA1" s="3460"/>
      <c r="AB1" s="3460"/>
      <c r="AD1" s="3459" t="s">
        <v>1150</v>
      </c>
      <c r="AE1" s="3460"/>
      <c r="AF1" s="3460"/>
      <c r="AG1" s="3460"/>
      <c r="AH1" s="3460"/>
    </row>
    <row r="2" spans="1:34" s="1442" customFormat="1" ht="1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4">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4">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8"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8"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57">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57"/>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57"/>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66"/>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62">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57"/>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57"/>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66"/>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62">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57"/>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57"/>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8"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58"/>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8" thickBot="1">
      <c r="A22" s="1456" t="s">
        <v>151</v>
      </c>
      <c r="B22" s="1464">
        <v>333</v>
      </c>
      <c r="C22" s="1464">
        <v>277</v>
      </c>
      <c r="D22" s="1464">
        <f t="shared" si="119"/>
        <v>277</v>
      </c>
      <c r="E22" s="1464">
        <v>459</v>
      </c>
      <c r="F22" s="1465">
        <v>249</v>
      </c>
      <c r="G22" s="3456">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57"/>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57"/>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58"/>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8" thickBot="1">
      <c r="A26" s="1456" t="s">
        <v>147</v>
      </c>
      <c r="B26" s="1485">
        <v>318</v>
      </c>
      <c r="C26" s="1485">
        <v>268</v>
      </c>
      <c r="D26" s="1485">
        <f t="shared" si="119"/>
        <v>268</v>
      </c>
      <c r="E26" s="1485">
        <v>437</v>
      </c>
      <c r="F26" s="1486">
        <v>237</v>
      </c>
      <c r="G26" s="3456">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57"/>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8"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57"/>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8"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58"/>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8" thickBot="1">
      <c r="A30" s="1456" t="s">
        <v>1158</v>
      </c>
      <c r="B30" s="1464">
        <v>299</v>
      </c>
      <c r="C30" s="1464">
        <v>252</v>
      </c>
      <c r="D30" s="1464">
        <f t="shared" si="119"/>
        <v>252</v>
      </c>
      <c r="E30" s="1464">
        <v>409</v>
      </c>
      <c r="F30" s="1465">
        <v>227</v>
      </c>
      <c r="G30" s="3463">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64"/>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64"/>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65"/>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8" thickBot="1">
      <c r="A34" s="1456" t="s">
        <v>1162</v>
      </c>
      <c r="B34" s="1506">
        <v>278</v>
      </c>
      <c r="C34" s="1506">
        <v>234</v>
      </c>
      <c r="D34" s="1506">
        <f t="shared" si="119"/>
        <v>234</v>
      </c>
      <c r="E34" s="1506">
        <v>379</v>
      </c>
      <c r="F34" s="1507">
        <v>220</v>
      </c>
      <c r="G34" s="3456">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57"/>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57"/>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8" thickBot="1">
      <c r="A37" s="1456" t="s">
        <v>1165</v>
      </c>
      <c r="B37" s="1472">
        <f>B36/(1+N36)</f>
        <v>275.19025476197027</v>
      </c>
      <c r="C37" s="1508">
        <v>232</v>
      </c>
      <c r="D37" s="1508">
        <f t="shared" si="119"/>
        <v>232</v>
      </c>
      <c r="E37" s="1472">
        <f t="shared" si="130"/>
        <v>375.65990977608692</v>
      </c>
      <c r="F37" s="1472">
        <f t="shared" si="130"/>
        <v>214.12518283971252</v>
      </c>
      <c r="G37" s="3458"/>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8" thickBot="1">
      <c r="A38" s="1456" t="s">
        <v>1166</v>
      </c>
      <c r="B38" s="1464">
        <v>275</v>
      </c>
      <c r="C38" s="1464">
        <v>232</v>
      </c>
      <c r="D38" s="1464">
        <f t="shared" si="119"/>
        <v>232</v>
      </c>
      <c r="E38" s="1464">
        <v>376</v>
      </c>
      <c r="F38" s="1465">
        <v>213</v>
      </c>
      <c r="G38" s="3456">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57">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57">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8"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58">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8" thickBot="1">
      <c r="A42" s="1456" t="s">
        <v>1170</v>
      </c>
      <c r="B42" s="1464">
        <v>269</v>
      </c>
      <c r="C42" s="1464">
        <v>221</v>
      </c>
      <c r="D42" s="1464">
        <f t="shared" si="119"/>
        <v>221</v>
      </c>
      <c r="E42" s="1464">
        <v>373</v>
      </c>
      <c r="F42" s="1465">
        <v>196</v>
      </c>
      <c r="G42" s="3456">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57">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57">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8"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58">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8" thickBot="1">
      <c r="A46" s="1456" t="s">
        <v>1174</v>
      </c>
      <c r="B46" s="1464">
        <v>220</v>
      </c>
      <c r="C46" s="1464">
        <v>187</v>
      </c>
      <c r="D46" s="1464">
        <f t="shared" si="119"/>
        <v>187</v>
      </c>
      <c r="E46" s="1464">
        <v>301</v>
      </c>
      <c r="F46" s="1465">
        <v>168</v>
      </c>
      <c r="G46" s="3456">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57">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57">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58">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8" thickBot="1">
      <c r="A50" s="1456" t="s">
        <v>1178</v>
      </c>
      <c r="B50" s="1506">
        <v>214</v>
      </c>
      <c r="C50" s="1506">
        <v>188</v>
      </c>
      <c r="D50" s="1506">
        <f t="shared" si="119"/>
        <v>188</v>
      </c>
      <c r="E50" s="1506">
        <v>289</v>
      </c>
      <c r="F50" s="1507">
        <v>166</v>
      </c>
      <c r="G50" s="3456">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57">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57">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8"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58">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8" thickBot="1">
      <c r="A54" s="1456" t="s">
        <v>1182</v>
      </c>
      <c r="B54" s="1464">
        <v>188</v>
      </c>
      <c r="C54" s="1464">
        <v>165</v>
      </c>
      <c r="D54" s="1464">
        <f t="shared" si="119"/>
        <v>165</v>
      </c>
      <c r="E54" s="1464">
        <v>254</v>
      </c>
      <c r="F54" s="1465">
        <v>148</v>
      </c>
      <c r="G54" s="3456">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57">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57">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58">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8" thickBot="1">
      <c r="A58" s="1456" t="s">
        <v>1186</v>
      </c>
      <c r="B58" s="1485">
        <v>159</v>
      </c>
      <c r="C58" s="1485">
        <v>141</v>
      </c>
      <c r="D58" s="1485">
        <f t="shared" si="119"/>
        <v>141</v>
      </c>
      <c r="E58" s="1485">
        <v>195</v>
      </c>
      <c r="F58" s="1486">
        <v>122</v>
      </c>
      <c r="G58" s="3456">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57">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57">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58">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8" thickBot="1">
      <c r="A62" s="1456" t="s">
        <v>1190</v>
      </c>
      <c r="B62" s="1485">
        <v>138</v>
      </c>
      <c r="C62" s="1485">
        <v>131</v>
      </c>
      <c r="D62" s="1485">
        <f t="shared" si="119"/>
        <v>131</v>
      </c>
      <c r="E62" s="1485">
        <v>155</v>
      </c>
      <c r="F62" s="1486">
        <v>114</v>
      </c>
      <c r="G62" s="3456">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57">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57">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58">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8" thickBot="1">
      <c r="A66" s="1456" t="s">
        <v>1194</v>
      </c>
      <c r="B66" s="1506">
        <v>121</v>
      </c>
      <c r="C66" s="1506">
        <v>122</v>
      </c>
      <c r="D66" s="1506">
        <f t="shared" si="119"/>
        <v>122</v>
      </c>
      <c r="E66" s="1506">
        <v>124</v>
      </c>
      <c r="F66" s="1507">
        <v>107</v>
      </c>
      <c r="G66" s="3456">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57">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57">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8"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58">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8" thickBot="1">
      <c r="A70" s="1456" t="s">
        <v>1198</v>
      </c>
      <c r="B70" s="1527">
        <v>111</v>
      </c>
      <c r="C70" s="1527">
        <v>114</v>
      </c>
      <c r="D70" s="1527">
        <f t="shared" si="119"/>
        <v>114</v>
      </c>
      <c r="E70" s="1527">
        <v>108</v>
      </c>
      <c r="F70" s="1528">
        <v>104</v>
      </c>
      <c r="G70" s="3456">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57">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57">
        <v>2003</v>
      </c>
      <c r="H72" s="1460">
        <v>2</v>
      </c>
      <c r="I72" s="1529"/>
      <c r="J72" s="1529"/>
      <c r="K72" s="1529"/>
      <c r="L72" s="1529"/>
      <c r="X72" s="1521"/>
      <c r="Y72" s="1521"/>
      <c r="Z72" s="1521"/>
    </row>
    <row r="73" spans="1:26" ht="13.8" thickBot="1">
      <c r="A73" s="1456" t="s">
        <v>1201</v>
      </c>
      <c r="B73" s="1531">
        <f t="shared" si="155"/>
        <v>107.25</v>
      </c>
      <c r="C73" s="1531">
        <f t="shared" si="155"/>
        <v>108.75</v>
      </c>
      <c r="D73" s="1531">
        <f t="shared" si="119"/>
        <v>108.75</v>
      </c>
      <c r="E73" s="1531">
        <f t="shared" si="156"/>
        <v>105.75</v>
      </c>
      <c r="F73" s="1531">
        <f t="shared" si="156"/>
        <v>102.5</v>
      </c>
      <c r="G73" s="3458">
        <v>2003</v>
      </c>
      <c r="H73" s="1532">
        <v>1</v>
      </c>
      <c r="I73" s="1529"/>
      <c r="J73" s="1529"/>
      <c r="K73" s="1529"/>
      <c r="L73" s="1529"/>
      <c r="S73" s="1467"/>
      <c r="T73" s="1468"/>
      <c r="U73" s="1468"/>
      <c r="X73" s="1521"/>
      <c r="Y73" s="1521"/>
      <c r="Z73" s="1521"/>
    </row>
    <row r="74" spans="1:26" ht="13.8" thickBot="1">
      <c r="A74" s="1456" t="s">
        <v>1202</v>
      </c>
      <c r="B74" s="1533">
        <v>106</v>
      </c>
      <c r="C74" s="1533">
        <v>107</v>
      </c>
      <c r="D74" s="1533">
        <f t="shared" si="119"/>
        <v>107</v>
      </c>
      <c r="E74" s="1533">
        <v>105</v>
      </c>
      <c r="F74" s="1534">
        <v>102</v>
      </c>
      <c r="G74" s="3456">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57">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57">
        <v>2002</v>
      </c>
      <c r="H76" s="1460">
        <v>2</v>
      </c>
      <c r="I76" s="1529"/>
      <c r="J76" s="1529"/>
      <c r="K76" s="1529"/>
      <c r="L76" s="1529"/>
      <c r="X76" s="1521"/>
      <c r="Y76" s="1521"/>
      <c r="Z76" s="1521"/>
    </row>
    <row r="77" spans="1:26" s="1493" customFormat="1" ht="13.8" thickBot="1">
      <c r="A77" s="1489" t="s">
        <v>1205</v>
      </c>
      <c r="B77" s="1535">
        <f t="shared" si="157"/>
        <v>103</v>
      </c>
      <c r="C77" s="1535">
        <f t="shared" si="157"/>
        <v>104</v>
      </c>
      <c r="D77" s="1535">
        <f t="shared" si="119"/>
        <v>104</v>
      </c>
      <c r="E77" s="1535">
        <f t="shared" si="158"/>
        <v>103.5</v>
      </c>
      <c r="F77" s="1535">
        <f t="shared" si="158"/>
        <v>100.5</v>
      </c>
      <c r="G77" s="3458">
        <v>2002</v>
      </c>
      <c r="H77" s="1536">
        <v>1</v>
      </c>
      <c r="I77" s="1537"/>
      <c r="J77" s="1537"/>
      <c r="K77" s="1537"/>
      <c r="L77" s="1537"/>
      <c r="N77" s="1538"/>
      <c r="S77" s="1538"/>
      <c r="X77" s="1539"/>
      <c r="Y77" s="1539"/>
      <c r="Z77" s="1539"/>
    </row>
    <row r="78" spans="1:26" ht="13.8"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8"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8"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68" t="s">
        <v>2986</v>
      </c>
      <c r="D1" s="3469"/>
      <c r="E1" s="3469"/>
      <c r="F1" s="3469"/>
      <c r="G1" s="3469"/>
      <c r="H1" s="3469"/>
      <c r="I1" s="3469"/>
      <c r="J1" s="3469"/>
      <c r="K1" s="3469"/>
      <c r="L1" s="3469"/>
      <c r="M1" s="3469"/>
      <c r="N1" s="3469"/>
      <c r="O1" s="3469"/>
      <c r="P1" s="3469"/>
      <c r="Q1" s="3469"/>
      <c r="R1" s="3469"/>
      <c r="S1" s="3470"/>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2"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6">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327" t="s">
        <v>33</v>
      </c>
      <c r="D22" s="3328"/>
      <c r="E22" s="3328"/>
      <c r="F22" s="3328"/>
      <c r="G22" s="3328"/>
      <c r="H22" s="3328"/>
      <c r="I22" s="3328"/>
      <c r="J22" s="3328"/>
      <c r="K22" s="3328"/>
      <c r="L22" s="3328"/>
      <c r="M22" s="3328"/>
      <c r="N22" s="3328"/>
      <c r="O22" s="3328"/>
      <c r="P22" s="3328"/>
      <c r="Q22" s="3467"/>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8" customWidth="1"/>
    <col min="2" max="9" width="12.109375" style="1938" customWidth="1"/>
    <col min="10" max="16384" width="9" style="1938"/>
  </cols>
  <sheetData>
    <row r="1" spans="1:9" ht="18" thickBot="1">
      <c r="A1" s="3146" t="str">
        <f>IF(项目基本情况!B9="房地产市场价值","估价结果一览表","结果表-2")</f>
        <v>结果表-2</v>
      </c>
      <c r="B1" s="3146"/>
      <c r="C1" s="3146"/>
      <c r="D1" s="3146"/>
      <c r="E1" s="3146"/>
      <c r="F1" s="3146"/>
      <c r="G1" s="3146"/>
      <c r="H1" s="3146"/>
      <c r="I1" s="3146"/>
    </row>
    <row r="2" spans="1:9" ht="30" customHeight="1" thickTop="1">
      <c r="A2" s="3147" t="s">
        <v>1635</v>
      </c>
      <c r="B2" s="3147" t="s">
        <v>1636</v>
      </c>
      <c r="C2" s="3147" t="s">
        <v>1637</v>
      </c>
      <c r="D2" s="3147" t="str">
        <f>结果表!D116</f>
        <v>出让国有建设用地使用权价值</v>
      </c>
      <c r="E2" s="3147"/>
      <c r="F2" s="3147" t="str">
        <f>结果表!F116</f>
        <v>在建建筑物价值</v>
      </c>
      <c r="G2" s="3147"/>
      <c r="H2" s="3147" t="str">
        <f>IF(项目基本情况!B9="房地产市场价值","房地产市场价值","房地产价值")</f>
        <v>房地产价值</v>
      </c>
      <c r="I2" s="3147"/>
    </row>
    <row r="3" spans="1:9" ht="15.6">
      <c r="A3" s="3141"/>
      <c r="B3" s="3141"/>
      <c r="C3" s="3141"/>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f ca="1">结果表!D118</f>
        <v>360417</v>
      </c>
      <c r="E4" s="1041">
        <f ca="1">结果表!E118</f>
        <v>24149</v>
      </c>
      <c r="F4" s="1041">
        <f ca="1">结果表!F118</f>
        <v>32194</v>
      </c>
      <c r="G4" s="1041">
        <f ca="1">结果表!G118</f>
        <v>2157</v>
      </c>
      <c r="H4" s="1041">
        <f ca="1">结果表!H118</f>
        <v>392611</v>
      </c>
      <c r="I4" s="1041">
        <f ca="1">结果表!I118</f>
        <v>26306</v>
      </c>
    </row>
    <row r="5" spans="1:9" ht="30" customHeight="1">
      <c r="A5" s="3141" t="s">
        <v>1634</v>
      </c>
      <c r="B5" s="3141"/>
      <c r="C5" s="3141"/>
      <c r="D5" s="3142" t="str">
        <f ca="1">结果表!D119</f>
        <v>叁拾陆亿零肆佰壹拾柒万元整</v>
      </c>
      <c r="E5" s="3142"/>
      <c r="F5" s="3142" t="str">
        <f ca="1">结果表!F119</f>
        <v>叁亿贰仟壹佰玖拾肆万元整</v>
      </c>
      <c r="G5" s="3142"/>
      <c r="H5" s="3142" t="str">
        <f ca="1">结果表!H119</f>
        <v>叁拾玖亿贰仟陆佰壹拾壹万元整</v>
      </c>
      <c r="I5" s="3142"/>
    </row>
    <row r="6" spans="1:9" ht="15.6">
      <c r="A6" s="3140" t="str">
        <f>结果表!A120</f>
        <v>估价师知悉的法定优先受偿款</v>
      </c>
      <c r="B6" s="3140"/>
      <c r="C6" s="3140"/>
      <c r="D6" s="3140">
        <f>结果表!D120</f>
        <v>0</v>
      </c>
      <c r="E6" s="3140"/>
      <c r="F6" s="3140"/>
      <c r="G6" s="3140"/>
      <c r="H6" s="3140"/>
      <c r="I6" s="3140"/>
    </row>
    <row r="7" spans="1:9" ht="15">
      <c r="A7" s="3141" t="s">
        <v>1634</v>
      </c>
      <c r="B7" s="3141"/>
      <c r="C7" s="3141"/>
      <c r="D7" s="3143" t="str">
        <f>结果表!D121</f>
        <v>零元整</v>
      </c>
      <c r="E7" s="3144"/>
      <c r="F7" s="3144"/>
      <c r="G7" s="3144"/>
      <c r="H7" s="3144"/>
      <c r="I7" s="3145"/>
    </row>
    <row r="8" spans="1:9" ht="15.6">
      <c r="A8" s="3140" t="str">
        <f>结果表!A122</f>
        <v/>
      </c>
      <c r="B8" s="3140"/>
      <c r="C8" s="3140"/>
      <c r="D8" s="3140" t="str">
        <f>结果表!D122</f>
        <v>——</v>
      </c>
      <c r="E8" s="3140"/>
      <c r="F8" s="3140"/>
      <c r="G8" s="3140"/>
      <c r="H8" s="3140"/>
      <c r="I8" s="3140"/>
    </row>
    <row r="9" spans="1:9" ht="15">
      <c r="A9" s="3141" t="s">
        <v>1634</v>
      </c>
      <c r="B9" s="3141"/>
      <c r="C9" s="3141"/>
      <c r="D9" s="3142" t="e">
        <f>结果表!D123</f>
        <v>#VALUE!</v>
      </c>
      <c r="E9" s="3142"/>
      <c r="F9" s="3142"/>
      <c r="G9" s="3142"/>
      <c r="H9" s="3142"/>
      <c r="I9" s="3142"/>
    </row>
    <row r="10" spans="1:9" ht="15.6">
      <c r="A10" s="3140" t="str">
        <f>结果表!A124</f>
        <v>抵押担保权已注销时的房地产抵押价值</v>
      </c>
      <c r="B10" s="3140"/>
      <c r="C10" s="3140"/>
      <c r="D10" s="3140">
        <f ca="1">结果表!D124</f>
        <v>392611</v>
      </c>
      <c r="E10" s="3140"/>
      <c r="F10" s="3140"/>
      <c r="G10" s="3140"/>
      <c r="H10" s="3140"/>
      <c r="I10" s="3140"/>
    </row>
    <row r="11" spans="1:9" ht="15">
      <c r="A11" s="3141" t="s">
        <v>1634</v>
      </c>
      <c r="B11" s="3141"/>
      <c r="C11" s="3141"/>
      <c r="D11" s="3142" t="str">
        <f ca="1">结果表!D125</f>
        <v>叁拾玖亿贰仟陆佰壹拾壹万元整</v>
      </c>
      <c r="E11" s="3142"/>
      <c r="F11" s="3142"/>
      <c r="G11" s="3142"/>
      <c r="H11" s="3142"/>
      <c r="I11" s="3142"/>
    </row>
    <row r="12" spans="1:9" ht="15.6">
      <c r="A12" s="3140" t="str">
        <f>结果表!A126</f>
        <v/>
      </c>
      <c r="B12" s="3140"/>
      <c r="C12" s="3140"/>
      <c r="D12" s="3140" t="str">
        <f>结果表!D126</f>
        <v>——</v>
      </c>
      <c r="E12" s="3140"/>
      <c r="F12" s="3140"/>
      <c r="G12" s="3140"/>
      <c r="H12" s="3140"/>
      <c r="I12" s="3140"/>
    </row>
    <row r="13" spans="1:9" ht="15.6" thickBot="1">
      <c r="A13" s="3137" t="s">
        <v>1634</v>
      </c>
      <c r="B13" s="3137"/>
      <c r="C13" s="3137"/>
      <c r="D13" s="3138" t="e">
        <f>结果表!D127</f>
        <v>#VALUE!</v>
      </c>
      <c r="E13" s="3138"/>
      <c r="F13" s="3138"/>
      <c r="G13" s="3138"/>
      <c r="H13" s="3138"/>
      <c r="I13" s="3138"/>
    </row>
    <row r="14" spans="1:9" ht="14.4" thickTop="1">
      <c r="A14" s="3139" t="s">
        <v>1639</v>
      </c>
      <c r="B14" s="3139"/>
      <c r="C14" s="3139"/>
      <c r="D14" s="3139"/>
      <c r="E14" s="3139"/>
      <c r="F14" s="3139"/>
      <c r="G14" s="3139"/>
      <c r="H14" s="3139"/>
      <c r="I14" s="3139"/>
    </row>
    <row r="16" spans="1:9" ht="17.399999999999999">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6.2">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6.4">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6.2">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32" t="s">
        <v>121</v>
      </c>
    </row>
    <row r="43" spans="1:7" ht="13.5" customHeight="1">
      <c r="A43" s="949" t="s">
        <v>792</v>
      </c>
      <c r="B43" s="257" t="s">
        <v>1060</v>
      </c>
      <c r="C43" s="280">
        <f ca="1">ROUND(IF('数据-取费表'!B22&lt;=1,C39*F22*'数据-取费表'!B21/2,C39*(POWER((1+F22),'数据-取费表'!B21/2)-1)),0)</f>
        <v>21</v>
      </c>
      <c r="D43" s="280"/>
      <c r="E43" s="280"/>
      <c r="F43" s="281"/>
      <c r="G43" s="3333"/>
    </row>
    <row r="44" spans="1:7" ht="13.5" customHeight="1">
      <c r="A44" s="949" t="s">
        <v>793</v>
      </c>
      <c r="B44" s="257" t="s">
        <v>1062</v>
      </c>
      <c r="C44" s="280">
        <f ca="1">ROUND(IF('数据-取费表'!B22&lt;=1,C40*F22*'数据-取费表'!B21/2,C40*(POWER((1+F22),'数据-取费表'!B21/2)-1)),4)</f>
        <v>6.9999999999999999E-4</v>
      </c>
      <c r="D44" s="280"/>
      <c r="E44" s="280"/>
      <c r="F44" s="281"/>
      <c r="G44" s="3334"/>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8"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471" t="s">
        <v>156</v>
      </c>
      <c r="B1" s="3471"/>
      <c r="C1" s="3471"/>
      <c r="D1" s="3471"/>
      <c r="E1" s="3471"/>
      <c r="F1" s="347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472" t="s">
        <v>169</v>
      </c>
      <c r="B2" s="3472"/>
      <c r="C2" s="3472"/>
      <c r="D2" s="3472"/>
      <c r="E2" s="3472"/>
      <c r="F2" s="347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471" t="s">
        <v>867</v>
      </c>
      <c r="B1" s="3471"/>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8" t="s">
        <v>874</v>
      </c>
      <c r="B5" s="839" t="s">
        <v>875</v>
      </c>
      <c r="C5" s="1058">
        <v>8.8999999999999996E-2</v>
      </c>
      <c r="D5" s="1058">
        <v>7.3999999999999996E-2</v>
      </c>
      <c r="E5" s="1058">
        <v>7.4999999999999997E-2</v>
      </c>
      <c r="F5" s="1059">
        <v>0.1</v>
      </c>
    </row>
    <row r="6" spans="1:6" ht="15" thickBot="1">
      <c r="A6" s="838" t="s">
        <v>212</v>
      </c>
      <c r="B6" s="832" t="s">
        <v>876</v>
      </c>
      <c r="C6" s="1060">
        <v>0.1</v>
      </c>
      <c r="D6" s="1060">
        <v>9.0999999999999998E-2</v>
      </c>
      <c r="E6" s="1060">
        <v>9.0999999999999998E-2</v>
      </c>
      <c r="F6" s="1061">
        <v>0.1</v>
      </c>
    </row>
    <row r="7" spans="1:6" ht="15" thickBot="1">
      <c r="A7" s="838" t="s">
        <v>212</v>
      </c>
      <c r="B7" s="842" t="s">
        <v>201</v>
      </c>
      <c r="C7" s="1060">
        <v>8.5999999999999993E-2</v>
      </c>
      <c r="D7" s="1060">
        <v>9.6000000000000002E-2</v>
      </c>
      <c r="E7" s="1060">
        <v>7.5999999999999998E-2</v>
      </c>
      <c r="F7" s="1061">
        <v>0.1</v>
      </c>
    </row>
    <row r="8" spans="1:6" ht="15" thickBot="1">
      <c r="A8" s="838" t="s">
        <v>212</v>
      </c>
      <c r="B8" s="832" t="s">
        <v>213</v>
      </c>
      <c r="C8" s="1060">
        <v>9.9000000000000005E-2</v>
      </c>
      <c r="D8" s="1060">
        <v>9.8000000000000004E-2</v>
      </c>
      <c r="E8" s="1060">
        <v>9.8000000000000004E-2</v>
      </c>
      <c r="F8" s="1061">
        <v>0.1</v>
      </c>
    </row>
    <row r="9" spans="1:6" ht="15" thickBot="1">
      <c r="A9" s="848" t="s">
        <v>212</v>
      </c>
      <c r="B9" s="843" t="s">
        <v>225</v>
      </c>
      <c r="C9" s="1062">
        <v>0.05</v>
      </c>
      <c r="D9" s="1070"/>
      <c r="E9" s="1070"/>
      <c r="F9" s="1071"/>
    </row>
    <row r="10" spans="1:6" ht="15" thickBot="1">
      <c r="A10" s="838" t="s">
        <v>269</v>
      </c>
      <c r="B10" s="839" t="s">
        <v>877</v>
      </c>
      <c r="C10" s="1058">
        <v>8.8999999999999996E-2</v>
      </c>
      <c r="D10" s="1058">
        <v>7.2999999999999995E-2</v>
      </c>
      <c r="E10" s="1058">
        <v>8.2000000000000003E-2</v>
      </c>
      <c r="F10" s="1059">
        <v>0.1</v>
      </c>
    </row>
    <row r="11" spans="1:6" ht="15" thickBot="1">
      <c r="A11" s="838" t="s">
        <v>269</v>
      </c>
      <c r="B11" s="842" t="s">
        <v>188</v>
      </c>
      <c r="C11" s="1060">
        <v>8.8999999999999996E-2</v>
      </c>
      <c r="D11" s="1060">
        <v>7.2999999999999995E-2</v>
      </c>
      <c r="E11" s="1060">
        <v>8.2000000000000003E-2</v>
      </c>
      <c r="F11" s="1061">
        <v>0.1</v>
      </c>
    </row>
    <row r="12" spans="1:6" ht="15" thickBot="1">
      <c r="A12" s="838" t="s">
        <v>269</v>
      </c>
      <c r="B12" s="842" t="s">
        <v>138</v>
      </c>
      <c r="C12" s="1060">
        <v>6.0999999999999999E-2</v>
      </c>
      <c r="D12" s="1060">
        <v>7.0999999999999994E-2</v>
      </c>
      <c r="E12" s="1060">
        <v>9.6000000000000002E-2</v>
      </c>
      <c r="F12" s="1061">
        <v>0.1</v>
      </c>
    </row>
    <row r="13" spans="1:6" ht="15" thickBot="1">
      <c r="A13" s="838" t="s">
        <v>269</v>
      </c>
      <c r="B13" s="842" t="s">
        <v>214</v>
      </c>
      <c r="C13" s="1060">
        <v>6.9000000000000006E-2</v>
      </c>
      <c r="D13" s="1060">
        <v>6.5000000000000002E-2</v>
      </c>
      <c r="E13" s="1060">
        <v>6.6000000000000003E-2</v>
      </c>
      <c r="F13" s="1061">
        <v>0.1</v>
      </c>
    </row>
    <row r="14" spans="1:6" ht="15" thickBot="1">
      <c r="A14" s="838" t="s">
        <v>269</v>
      </c>
      <c r="B14" s="842" t="s">
        <v>226</v>
      </c>
      <c r="C14" s="1060">
        <v>0.1</v>
      </c>
      <c r="D14" s="1060">
        <v>6.5000000000000002E-2</v>
      </c>
      <c r="E14" s="1060">
        <v>7.0000000000000007E-2</v>
      </c>
      <c r="F14" s="1061">
        <v>0.1</v>
      </c>
    </row>
    <row r="15" spans="1:6" ht="15" thickBot="1">
      <c r="A15" s="838" t="s">
        <v>269</v>
      </c>
      <c r="B15" s="842" t="s">
        <v>237</v>
      </c>
      <c r="C15" s="1060">
        <v>9.8000000000000004E-2</v>
      </c>
      <c r="D15" s="1060">
        <v>8.8999999999999996E-2</v>
      </c>
      <c r="E15" s="1060">
        <v>8.8999999999999996E-2</v>
      </c>
      <c r="F15" s="1061">
        <v>0.1</v>
      </c>
    </row>
    <row r="16" spans="1:6" ht="15" thickBot="1">
      <c r="A16" s="838" t="s">
        <v>269</v>
      </c>
      <c r="B16" s="842" t="s">
        <v>248</v>
      </c>
      <c r="C16" s="1060">
        <v>7.0000000000000007E-2</v>
      </c>
      <c r="D16" s="1060">
        <v>9.2999999999999999E-2</v>
      </c>
      <c r="E16" s="1060">
        <v>9.6000000000000002E-2</v>
      </c>
      <c r="F16" s="1061">
        <v>0.1</v>
      </c>
    </row>
    <row r="17" spans="1:6" ht="15" thickBot="1">
      <c r="A17" s="838" t="s">
        <v>269</v>
      </c>
      <c r="B17" s="842" t="s">
        <v>259</v>
      </c>
      <c r="C17" s="1060">
        <v>9.5000000000000001E-2</v>
      </c>
      <c r="D17" s="1060">
        <v>0.1</v>
      </c>
      <c r="E17" s="1060">
        <v>0.1</v>
      </c>
      <c r="F17" s="1072"/>
    </row>
    <row r="18" spans="1:6" ht="15" thickBot="1">
      <c r="A18" s="838" t="s">
        <v>269</v>
      </c>
      <c r="B18" s="842" t="s">
        <v>271</v>
      </c>
      <c r="C18" s="1060">
        <v>7.3999999999999996E-2</v>
      </c>
      <c r="D18" s="1060">
        <v>9.9000000000000005E-2</v>
      </c>
      <c r="E18" s="1060">
        <v>0.1</v>
      </c>
      <c r="F18" s="1072"/>
    </row>
    <row r="19" spans="1:6" ht="15" thickBot="1">
      <c r="A19" s="838" t="s">
        <v>269</v>
      </c>
      <c r="B19" s="842" t="s">
        <v>281</v>
      </c>
      <c r="C19" s="1060">
        <v>9.9000000000000005E-2</v>
      </c>
      <c r="D19" s="1060">
        <v>7.5999999999999998E-2</v>
      </c>
      <c r="E19" s="1060">
        <v>8.6999999999999994E-2</v>
      </c>
      <c r="F19" s="1072"/>
    </row>
    <row r="20" spans="1:6" ht="15" thickBot="1">
      <c r="A20" s="838" t="s">
        <v>269</v>
      </c>
      <c r="B20" s="842" t="s">
        <v>291</v>
      </c>
      <c r="C20" s="1060">
        <v>9.8000000000000004E-2</v>
      </c>
      <c r="D20" s="1060">
        <v>8.5000000000000006E-2</v>
      </c>
      <c r="E20" s="1060">
        <v>8.2000000000000003E-2</v>
      </c>
      <c r="F20" s="1072"/>
    </row>
    <row r="21" spans="1:6" ht="15" thickBot="1">
      <c r="A21" s="838" t="s">
        <v>269</v>
      </c>
      <c r="B21" s="842" t="s">
        <v>301</v>
      </c>
      <c r="C21" s="1060">
        <v>6.6000000000000003E-2</v>
      </c>
      <c r="D21" s="1060">
        <v>6.4000000000000001E-2</v>
      </c>
      <c r="E21" s="1060">
        <v>6.5000000000000002E-2</v>
      </c>
      <c r="F21" s="1072"/>
    </row>
    <row r="22" spans="1:6" ht="15" thickBot="1">
      <c r="A22" s="838" t="s">
        <v>269</v>
      </c>
      <c r="B22" s="842" t="s">
        <v>878</v>
      </c>
      <c r="C22" s="1060">
        <v>0.08</v>
      </c>
      <c r="D22" s="1060">
        <v>9.8000000000000004E-2</v>
      </c>
      <c r="E22" s="1060">
        <v>9.8000000000000004E-2</v>
      </c>
      <c r="F22" s="1072"/>
    </row>
    <row r="23" spans="1:6" ht="15" thickBot="1">
      <c r="A23" s="838" t="s">
        <v>269</v>
      </c>
      <c r="B23" s="842" t="s">
        <v>322</v>
      </c>
      <c r="C23" s="1060">
        <v>9.9000000000000005E-2</v>
      </c>
      <c r="D23" s="1060">
        <v>9.8000000000000004E-2</v>
      </c>
      <c r="E23" s="1060">
        <v>9.0999999999999998E-2</v>
      </c>
      <c r="F23" s="1072"/>
    </row>
    <row r="24" spans="1:6" ht="15" thickBot="1">
      <c r="A24" s="838" t="s">
        <v>269</v>
      </c>
      <c r="B24" s="842" t="s">
        <v>333</v>
      </c>
      <c r="C24" s="1060">
        <v>8.8999999999999996E-2</v>
      </c>
      <c r="D24" s="1060">
        <v>9.7000000000000003E-2</v>
      </c>
      <c r="E24" s="1060">
        <v>7.0000000000000007E-2</v>
      </c>
      <c r="F24" s="1072"/>
    </row>
    <row r="25" spans="1:6" ht="15" thickBot="1">
      <c r="A25" s="838" t="s">
        <v>269</v>
      </c>
      <c r="B25" s="842" t="s">
        <v>343</v>
      </c>
      <c r="C25" s="1060">
        <v>8.8999999999999996E-2</v>
      </c>
      <c r="D25" s="1060">
        <v>0.1</v>
      </c>
      <c r="E25" s="1060">
        <v>8.1000000000000003E-2</v>
      </c>
      <c r="F25" s="1072"/>
    </row>
    <row r="26" spans="1:6" ht="15" thickBot="1">
      <c r="A26" s="838" t="s">
        <v>269</v>
      </c>
      <c r="B26" s="842" t="s">
        <v>353</v>
      </c>
      <c r="C26" s="1073"/>
      <c r="D26" s="1060">
        <v>9.6000000000000002E-2</v>
      </c>
      <c r="E26" s="1060">
        <v>9.2999999999999999E-2</v>
      </c>
      <c r="F26" s="1072"/>
    </row>
    <row r="27" spans="1:6" ht="15" thickBot="1">
      <c r="A27" s="838" t="s">
        <v>269</v>
      </c>
      <c r="B27" s="842" t="s">
        <v>363</v>
      </c>
      <c r="C27" s="1073"/>
      <c r="D27" s="1060">
        <v>7.5999999999999998E-2</v>
      </c>
      <c r="E27" s="1060">
        <v>9.1999999999999998E-2</v>
      </c>
      <c r="F27" s="1072"/>
    </row>
    <row r="28" spans="1:6" ht="15" thickBot="1">
      <c r="A28" s="848" t="s">
        <v>269</v>
      </c>
      <c r="B28" s="843" t="s">
        <v>373</v>
      </c>
      <c r="C28" s="1070"/>
      <c r="D28" s="1062">
        <v>7.5999999999999998E-2</v>
      </c>
      <c r="E28" s="1062">
        <v>9.1999999999999998E-2</v>
      </c>
      <c r="F28" s="1071"/>
    </row>
    <row r="29" spans="1:6" ht="15" thickBot="1">
      <c r="A29" s="838" t="s">
        <v>442</v>
      </c>
      <c r="B29" s="839" t="s">
        <v>879</v>
      </c>
      <c r="C29" s="1058">
        <v>6.4000000000000001E-2</v>
      </c>
      <c r="D29" s="1058">
        <v>6.5000000000000002E-2</v>
      </c>
      <c r="E29" s="1058">
        <v>6.9000000000000006E-2</v>
      </c>
      <c r="F29" s="1059">
        <v>0.1</v>
      </c>
    </row>
    <row r="30" spans="1:6" ht="15" thickBot="1">
      <c r="A30" s="838" t="s">
        <v>442</v>
      </c>
      <c r="B30" s="842" t="s">
        <v>189</v>
      </c>
      <c r="C30" s="1060">
        <v>6.4000000000000001E-2</v>
      </c>
      <c r="D30" s="1060">
        <v>9.9000000000000005E-2</v>
      </c>
      <c r="E30" s="1060">
        <v>0.1</v>
      </c>
      <c r="F30" s="1061">
        <v>0.1</v>
      </c>
    </row>
    <row r="31" spans="1:6" ht="15" thickBot="1">
      <c r="A31" s="838" t="s">
        <v>442</v>
      </c>
      <c r="B31" s="842" t="s">
        <v>202</v>
      </c>
      <c r="C31" s="1060">
        <v>0.1</v>
      </c>
      <c r="D31" s="1060">
        <v>9.5000000000000001E-2</v>
      </c>
      <c r="E31" s="1060">
        <v>8.8999999999999996E-2</v>
      </c>
      <c r="F31" s="1061">
        <v>0.1</v>
      </c>
    </row>
    <row r="32" spans="1:6" ht="15" thickBot="1">
      <c r="A32" s="838" t="s">
        <v>442</v>
      </c>
      <c r="B32" s="842" t="s">
        <v>215</v>
      </c>
      <c r="C32" s="1060">
        <v>0.05</v>
      </c>
      <c r="D32" s="1060">
        <v>0.05</v>
      </c>
      <c r="E32" s="1060">
        <v>8.7999999999999995E-2</v>
      </c>
      <c r="F32" s="1061">
        <v>0.1</v>
      </c>
    </row>
    <row r="33" spans="1:6" ht="15" thickBot="1">
      <c r="A33" s="838" t="s">
        <v>442</v>
      </c>
      <c r="B33" s="842" t="s">
        <v>227</v>
      </c>
      <c r="C33" s="1060">
        <v>7.4999999999999997E-2</v>
      </c>
      <c r="D33" s="1060">
        <v>9.4E-2</v>
      </c>
      <c r="E33" s="1060">
        <v>9.7000000000000003E-2</v>
      </c>
      <c r="F33" s="1061">
        <v>0.1</v>
      </c>
    </row>
    <row r="34" spans="1:6" ht="15" thickBot="1">
      <c r="A34" s="838" t="s">
        <v>442</v>
      </c>
      <c r="B34" s="842" t="s">
        <v>238</v>
      </c>
      <c r="C34" s="1060">
        <v>9.8000000000000004E-2</v>
      </c>
      <c r="D34" s="1060">
        <v>8.5999999999999993E-2</v>
      </c>
      <c r="E34" s="1060">
        <v>9.7000000000000003E-2</v>
      </c>
      <c r="F34" s="1061">
        <v>0.1</v>
      </c>
    </row>
    <row r="35" spans="1:6" ht="15" thickBot="1">
      <c r="A35" s="838" t="s">
        <v>442</v>
      </c>
      <c r="B35" s="842" t="s">
        <v>249</v>
      </c>
      <c r="C35" s="1060">
        <v>5.8999999999999997E-2</v>
      </c>
      <c r="D35" s="1060">
        <v>6.5000000000000002E-2</v>
      </c>
      <c r="E35" s="1060">
        <v>7.0000000000000007E-2</v>
      </c>
      <c r="F35" s="1061">
        <v>0.1</v>
      </c>
    </row>
    <row r="36" spans="1:6" ht="15" thickBot="1">
      <c r="A36" s="838" t="s">
        <v>442</v>
      </c>
      <c r="B36" s="842" t="s">
        <v>260</v>
      </c>
      <c r="C36" s="1060">
        <v>6.3E-2</v>
      </c>
      <c r="D36" s="1060">
        <v>0.1</v>
      </c>
      <c r="E36" s="1060">
        <v>0.1</v>
      </c>
      <c r="F36" s="1061">
        <v>0.1</v>
      </c>
    </row>
    <row r="37" spans="1:6" ht="15" thickBot="1">
      <c r="A37" s="838" t="s">
        <v>442</v>
      </c>
      <c r="B37" s="842" t="s">
        <v>272</v>
      </c>
      <c r="C37" s="1060">
        <v>7.3999999999999996E-2</v>
      </c>
      <c r="D37" s="1060">
        <v>0.1</v>
      </c>
      <c r="E37" s="1060">
        <v>0.1</v>
      </c>
      <c r="F37" s="1061">
        <v>0.1</v>
      </c>
    </row>
    <row r="38" spans="1:6" ht="15" thickBot="1">
      <c r="A38" s="838" t="s">
        <v>442</v>
      </c>
      <c r="B38" s="842" t="s">
        <v>282</v>
      </c>
      <c r="C38" s="1060">
        <v>0.1</v>
      </c>
      <c r="D38" s="1060">
        <v>9.6000000000000002E-2</v>
      </c>
      <c r="E38" s="1060">
        <v>9.6000000000000002E-2</v>
      </c>
      <c r="F38" s="1072"/>
    </row>
    <row r="39" spans="1:6" ht="15" thickBot="1">
      <c r="A39" s="838" t="s">
        <v>442</v>
      </c>
      <c r="B39" s="842" t="s">
        <v>292</v>
      </c>
      <c r="C39" s="1060">
        <v>0.1</v>
      </c>
      <c r="D39" s="1060">
        <v>9.6000000000000002E-2</v>
      </c>
      <c r="E39" s="1060">
        <v>9.6000000000000002E-2</v>
      </c>
      <c r="F39" s="1072"/>
    </row>
    <row r="40" spans="1:6" ht="15" thickBot="1">
      <c r="A40" s="838" t="s">
        <v>442</v>
      </c>
      <c r="B40" s="842" t="s">
        <v>302</v>
      </c>
      <c r="C40" s="1060">
        <v>9.6000000000000002E-2</v>
      </c>
      <c r="D40" s="1060">
        <v>0.1</v>
      </c>
      <c r="E40" s="1060">
        <v>9.9000000000000005E-2</v>
      </c>
      <c r="F40" s="1072"/>
    </row>
    <row r="41" spans="1:6" ht="15" thickBot="1">
      <c r="A41" s="838" t="s">
        <v>442</v>
      </c>
      <c r="B41" s="842" t="s">
        <v>312</v>
      </c>
      <c r="C41" s="1060">
        <v>9.6000000000000002E-2</v>
      </c>
      <c r="D41" s="1060">
        <v>9.8000000000000004E-2</v>
      </c>
      <c r="E41" s="1060">
        <v>9.8000000000000004E-2</v>
      </c>
      <c r="F41" s="1072"/>
    </row>
    <row r="42" spans="1:6" ht="15" thickBot="1">
      <c r="A42" s="838" t="s">
        <v>442</v>
      </c>
      <c r="B42" s="842" t="s">
        <v>323</v>
      </c>
      <c r="C42" s="1060">
        <v>0.1</v>
      </c>
      <c r="D42" s="1060">
        <v>8.7999999999999995E-2</v>
      </c>
      <c r="E42" s="1060">
        <v>0.1</v>
      </c>
      <c r="F42" s="1072"/>
    </row>
    <row r="43" spans="1:6" ht="15" thickBot="1">
      <c r="A43" s="838" t="s">
        <v>442</v>
      </c>
      <c r="B43" s="842" t="s">
        <v>334</v>
      </c>
      <c r="C43" s="1060">
        <v>9.8000000000000004E-2</v>
      </c>
      <c r="D43" s="1060">
        <v>9.7000000000000003E-2</v>
      </c>
      <c r="E43" s="1060">
        <v>9.6000000000000002E-2</v>
      </c>
      <c r="F43" s="1072"/>
    </row>
    <row r="44" spans="1:6" ht="15" thickBot="1">
      <c r="A44" s="838" t="s">
        <v>442</v>
      </c>
      <c r="B44" s="842" t="s">
        <v>344</v>
      </c>
      <c r="C44" s="1060">
        <v>8.5999999999999993E-2</v>
      </c>
      <c r="D44" s="1060">
        <v>7.9000000000000001E-2</v>
      </c>
      <c r="E44" s="1060">
        <v>7.0999999999999994E-2</v>
      </c>
      <c r="F44" s="1072"/>
    </row>
    <row r="45" spans="1:6" ht="15" thickBot="1">
      <c r="A45" s="838" t="s">
        <v>442</v>
      </c>
      <c r="B45" s="842" t="s">
        <v>354</v>
      </c>
      <c r="C45" s="1060">
        <v>9.8000000000000004E-2</v>
      </c>
      <c r="D45" s="1060">
        <v>9.6000000000000002E-2</v>
      </c>
      <c r="E45" s="1060">
        <v>9.6000000000000002E-2</v>
      </c>
      <c r="F45" s="1072"/>
    </row>
    <row r="46" spans="1:6" ht="15" thickBot="1">
      <c r="A46" s="838" t="s">
        <v>442</v>
      </c>
      <c r="B46" s="842" t="s">
        <v>364</v>
      </c>
      <c r="C46" s="1060">
        <v>8.5999999999999993E-2</v>
      </c>
      <c r="D46" s="1060">
        <v>9.8000000000000004E-2</v>
      </c>
      <c r="E46" s="1060">
        <v>8.7999999999999995E-2</v>
      </c>
      <c r="F46" s="1072"/>
    </row>
    <row r="47" spans="1:6" ht="15" thickBot="1">
      <c r="A47" s="838" t="s">
        <v>442</v>
      </c>
      <c r="B47" s="842" t="s">
        <v>374</v>
      </c>
      <c r="C47" s="1060">
        <v>9.6000000000000002E-2</v>
      </c>
      <c r="D47" s="1073"/>
      <c r="E47" s="1060">
        <v>6.9000000000000006E-2</v>
      </c>
      <c r="F47" s="1072"/>
    </row>
    <row r="48" spans="1:6" ht="15" thickBot="1">
      <c r="A48" s="848" t="s">
        <v>442</v>
      </c>
      <c r="B48" s="843" t="s">
        <v>383</v>
      </c>
      <c r="C48" s="1062">
        <v>9.8000000000000004E-2</v>
      </c>
      <c r="D48" s="1070"/>
      <c r="E48" s="1062">
        <v>9.5000000000000001E-2</v>
      </c>
      <c r="F48" s="1071"/>
    </row>
    <row r="49" spans="1:6" ht="15" thickBot="1">
      <c r="A49" s="838" t="s">
        <v>137</v>
      </c>
      <c r="B49" s="839" t="s">
        <v>880</v>
      </c>
      <c r="C49" s="1058">
        <v>9.7000000000000003E-2</v>
      </c>
      <c r="D49" s="1058">
        <v>9.5000000000000001E-2</v>
      </c>
      <c r="E49" s="1058">
        <v>9.7000000000000003E-2</v>
      </c>
      <c r="F49" s="1059">
        <v>0.1</v>
      </c>
    </row>
    <row r="50" spans="1:6" ht="15" thickBot="1">
      <c r="A50" s="838" t="s">
        <v>137</v>
      </c>
      <c r="B50" s="832" t="s">
        <v>190</v>
      </c>
      <c r="C50" s="1060">
        <v>7.4999999999999997E-2</v>
      </c>
      <c r="D50" s="1060">
        <v>9.5000000000000001E-2</v>
      </c>
      <c r="E50" s="1060">
        <v>0.1</v>
      </c>
      <c r="F50" s="1061">
        <v>0.1</v>
      </c>
    </row>
    <row r="51" spans="1:6" ht="15" thickBot="1">
      <c r="A51" s="838" t="s">
        <v>137</v>
      </c>
      <c r="B51" s="832" t="s">
        <v>203</v>
      </c>
      <c r="C51" s="1060">
        <v>9.8000000000000004E-2</v>
      </c>
      <c r="D51" s="1060">
        <v>8.8999999999999996E-2</v>
      </c>
      <c r="E51" s="1060">
        <v>0.1</v>
      </c>
      <c r="F51" s="1061">
        <v>0.1</v>
      </c>
    </row>
    <row r="52" spans="1:6" ht="15" thickBot="1">
      <c r="A52" s="838" t="s">
        <v>137</v>
      </c>
      <c r="B52" s="832" t="s">
        <v>216</v>
      </c>
      <c r="C52" s="1060">
        <v>9.8000000000000004E-2</v>
      </c>
      <c r="D52" s="1060">
        <v>9.7000000000000003E-2</v>
      </c>
      <c r="E52" s="1060">
        <v>8.1000000000000003E-2</v>
      </c>
      <c r="F52" s="1061">
        <v>0.1</v>
      </c>
    </row>
    <row r="53" spans="1:6" ht="15" thickBot="1">
      <c r="A53" s="838" t="s">
        <v>137</v>
      </c>
      <c r="B53" s="832" t="s">
        <v>228</v>
      </c>
      <c r="C53" s="1060">
        <v>9.7000000000000003E-2</v>
      </c>
      <c r="D53" s="1060">
        <v>7.5999999999999998E-2</v>
      </c>
      <c r="E53" s="1060">
        <v>7.0999999999999994E-2</v>
      </c>
      <c r="F53" s="1061">
        <v>0.1</v>
      </c>
    </row>
    <row r="54" spans="1:6" ht="15" thickBot="1">
      <c r="A54" s="838" t="s">
        <v>137</v>
      </c>
      <c r="B54" s="832" t="s">
        <v>239</v>
      </c>
      <c r="C54" s="1060">
        <v>7.5999999999999998E-2</v>
      </c>
      <c r="D54" s="1060">
        <v>0.1</v>
      </c>
      <c r="E54" s="1060">
        <v>9.9000000000000005E-2</v>
      </c>
      <c r="F54" s="1061">
        <v>0.1</v>
      </c>
    </row>
    <row r="55" spans="1:6" ht="15" thickBot="1">
      <c r="A55" s="838" t="s">
        <v>137</v>
      </c>
      <c r="B55" s="832" t="s">
        <v>250</v>
      </c>
      <c r="C55" s="1060">
        <v>0.1</v>
      </c>
      <c r="D55" s="1060">
        <v>0.1</v>
      </c>
      <c r="E55" s="1060">
        <v>9.6000000000000002E-2</v>
      </c>
      <c r="F55" s="1061">
        <v>0.1</v>
      </c>
    </row>
    <row r="56" spans="1:6" ht="15" thickBot="1">
      <c r="A56" s="838" t="s">
        <v>137</v>
      </c>
      <c r="B56" s="832" t="s">
        <v>261</v>
      </c>
      <c r="C56" s="1060">
        <v>0.1</v>
      </c>
      <c r="D56" s="1060">
        <v>9.6000000000000002E-2</v>
      </c>
      <c r="E56" s="1060">
        <v>5.1999999999999998E-2</v>
      </c>
      <c r="F56" s="1061">
        <v>0.1</v>
      </c>
    </row>
    <row r="57" spans="1:6" ht="15" thickBot="1">
      <c r="A57" s="838" t="s">
        <v>137</v>
      </c>
      <c r="B57" s="832" t="s">
        <v>273</v>
      </c>
      <c r="C57" s="1060">
        <v>9.7000000000000003E-2</v>
      </c>
      <c r="D57" s="1060">
        <v>9.6000000000000002E-2</v>
      </c>
      <c r="E57" s="1060">
        <v>9.6000000000000002E-2</v>
      </c>
      <c r="F57" s="1061">
        <v>0.1</v>
      </c>
    </row>
    <row r="58" spans="1:6" ht="15" thickBot="1">
      <c r="A58" s="838" t="s">
        <v>137</v>
      </c>
      <c r="B58" s="832" t="s">
        <v>283</v>
      </c>
      <c r="C58" s="1060">
        <v>9.6000000000000002E-2</v>
      </c>
      <c r="D58" s="1060">
        <v>9.9000000000000005E-2</v>
      </c>
      <c r="E58" s="1060">
        <v>9.6000000000000002E-2</v>
      </c>
      <c r="F58" s="1061">
        <v>0.1</v>
      </c>
    </row>
    <row r="59" spans="1:6" ht="15" thickBot="1">
      <c r="A59" s="838" t="s">
        <v>137</v>
      </c>
      <c r="B59" s="832" t="s">
        <v>293</v>
      </c>
      <c r="C59" s="1060">
        <v>7.1999999999999995E-2</v>
      </c>
      <c r="D59" s="1060">
        <v>9.6000000000000002E-2</v>
      </c>
      <c r="E59" s="1060">
        <v>7.0999999999999994E-2</v>
      </c>
      <c r="F59" s="1061">
        <v>0.1</v>
      </c>
    </row>
    <row r="60" spans="1:6" ht="15" thickBot="1">
      <c r="A60" s="838" t="s">
        <v>137</v>
      </c>
      <c r="B60" s="832" t="s">
        <v>303</v>
      </c>
      <c r="C60" s="1060">
        <v>9.6000000000000002E-2</v>
      </c>
      <c r="D60" s="1060">
        <v>8.8999999999999996E-2</v>
      </c>
      <c r="E60" s="1060">
        <v>9.6000000000000002E-2</v>
      </c>
      <c r="F60" s="1061">
        <v>0.1</v>
      </c>
    </row>
    <row r="61" spans="1:6" ht="15" thickBot="1">
      <c r="A61" s="838" t="s">
        <v>137</v>
      </c>
      <c r="B61" s="832" t="s">
        <v>313</v>
      </c>
      <c r="C61" s="1060">
        <v>8.8999999999999996E-2</v>
      </c>
      <c r="D61" s="1060">
        <v>9.8000000000000004E-2</v>
      </c>
      <c r="E61" s="1060">
        <v>8.7999999999999995E-2</v>
      </c>
      <c r="F61" s="1072"/>
    </row>
    <row r="62" spans="1:6" ht="15" thickBot="1">
      <c r="A62" s="838" t="s">
        <v>137</v>
      </c>
      <c r="B62" s="832" t="s">
        <v>324</v>
      </c>
      <c r="C62" s="1060">
        <v>9.8000000000000004E-2</v>
      </c>
      <c r="D62" s="1060">
        <v>9.2999999999999999E-2</v>
      </c>
      <c r="E62" s="1060">
        <v>9.7000000000000003E-2</v>
      </c>
      <c r="F62" s="1072"/>
    </row>
    <row r="63" spans="1:6" ht="15" thickBot="1">
      <c r="A63" s="838" t="s">
        <v>137</v>
      </c>
      <c r="B63" s="832" t="s">
        <v>335</v>
      </c>
      <c r="C63" s="1060">
        <v>9.6000000000000002E-2</v>
      </c>
      <c r="D63" s="1060">
        <v>9.8000000000000004E-2</v>
      </c>
      <c r="E63" s="1060">
        <v>0.09</v>
      </c>
      <c r="F63" s="1072"/>
    </row>
    <row r="64" spans="1:6" ht="15" thickBot="1">
      <c r="A64" s="838" t="s">
        <v>137</v>
      </c>
      <c r="B64" s="832" t="s">
        <v>345</v>
      </c>
      <c r="C64" s="1060">
        <v>9.9000000000000005E-2</v>
      </c>
      <c r="D64" s="1060">
        <v>9.7000000000000003E-2</v>
      </c>
      <c r="E64" s="1060">
        <v>9.9000000000000005E-2</v>
      </c>
      <c r="F64" s="1072"/>
    </row>
    <row r="65" spans="1:6" ht="15" thickBot="1">
      <c r="A65" s="838" t="s">
        <v>137</v>
      </c>
      <c r="B65" s="832" t="s">
        <v>355</v>
      </c>
      <c r="C65" s="1060">
        <v>9.8000000000000004E-2</v>
      </c>
      <c r="D65" s="1060">
        <v>9.6000000000000002E-2</v>
      </c>
      <c r="E65" s="1060">
        <v>9.6000000000000002E-2</v>
      </c>
      <c r="F65" s="1072"/>
    </row>
    <row r="66" spans="1:6" ht="15" thickBot="1">
      <c r="A66" s="838" t="s">
        <v>137</v>
      </c>
      <c r="B66" s="832" t="s">
        <v>365</v>
      </c>
      <c r="C66" s="1060">
        <v>9.6000000000000002E-2</v>
      </c>
      <c r="D66" s="1060">
        <v>9.1999999999999998E-2</v>
      </c>
      <c r="E66" s="1060">
        <v>9.6000000000000002E-2</v>
      </c>
      <c r="F66" s="1072"/>
    </row>
    <row r="67" spans="1:6" ht="15" thickBot="1">
      <c r="A67" s="838" t="s">
        <v>137</v>
      </c>
      <c r="B67" s="832" t="s">
        <v>375</v>
      </c>
      <c r="C67" s="1060">
        <v>9.4E-2</v>
      </c>
      <c r="D67" s="1060">
        <v>0.1</v>
      </c>
      <c r="E67" s="1060">
        <v>8.7999999999999995E-2</v>
      </c>
      <c r="F67" s="1072"/>
    </row>
    <row r="68" spans="1:6" ht="15" thickBot="1">
      <c r="A68" s="838" t="s">
        <v>137</v>
      </c>
      <c r="B68" s="832" t="s">
        <v>384</v>
      </c>
      <c r="C68" s="1060">
        <v>0.1</v>
      </c>
      <c r="D68" s="1060">
        <v>8.7999999999999995E-2</v>
      </c>
      <c r="E68" s="1060">
        <v>9.7000000000000003E-2</v>
      </c>
      <c r="F68" s="1072"/>
    </row>
    <row r="69" spans="1:6" ht="15" thickBot="1">
      <c r="A69" s="838" t="s">
        <v>137</v>
      </c>
      <c r="B69" s="832" t="s">
        <v>393</v>
      </c>
      <c r="C69" s="1060">
        <v>6.4000000000000001E-2</v>
      </c>
      <c r="D69" s="1060">
        <v>0.1</v>
      </c>
      <c r="E69" s="1060">
        <v>0.1</v>
      </c>
      <c r="F69" s="1072"/>
    </row>
    <row r="70" spans="1:6" ht="15" thickBot="1">
      <c r="A70" s="838" t="s">
        <v>137</v>
      </c>
      <c r="B70" s="832" t="s">
        <v>401</v>
      </c>
      <c r="C70" s="1060">
        <v>9.0999999999999998E-2</v>
      </c>
      <c r="D70" s="1073"/>
      <c r="E70" s="1073"/>
      <c r="F70" s="1072"/>
    </row>
    <row r="71" spans="1:6" ht="15" thickBot="1">
      <c r="A71" s="838" t="s">
        <v>137</v>
      </c>
      <c r="B71" s="832" t="s">
        <v>408</v>
      </c>
      <c r="C71" s="1060">
        <v>0.1</v>
      </c>
      <c r="D71" s="1073"/>
      <c r="E71" s="1073"/>
      <c r="F71" s="1072"/>
    </row>
    <row r="72" spans="1:6" ht="24.6" thickBot="1">
      <c r="A72" s="838" t="s">
        <v>137</v>
      </c>
      <c r="B72" s="832" t="s">
        <v>881</v>
      </c>
      <c r="C72" s="1073"/>
      <c r="D72" s="1073"/>
      <c r="E72" s="1073"/>
      <c r="F72" s="1061">
        <v>0.05</v>
      </c>
    </row>
    <row r="73" spans="1:6" ht="24.6" thickBot="1">
      <c r="A73" s="838" t="s">
        <v>137</v>
      </c>
      <c r="B73" s="832" t="s">
        <v>882</v>
      </c>
      <c r="C73" s="1073"/>
      <c r="D73" s="1073"/>
      <c r="E73" s="1073"/>
      <c r="F73" s="1061">
        <v>0.05</v>
      </c>
    </row>
    <row r="74" spans="1:6" ht="24.6" thickBot="1">
      <c r="A74" s="838" t="s">
        <v>137</v>
      </c>
      <c r="B74" s="832" t="s">
        <v>883</v>
      </c>
      <c r="C74" s="1073"/>
      <c r="D74" s="1073"/>
      <c r="E74" s="1073"/>
      <c r="F74" s="1061">
        <v>0.05</v>
      </c>
    </row>
    <row r="75" spans="1:6" ht="24.6" thickBot="1">
      <c r="A75" s="848" t="s">
        <v>137</v>
      </c>
      <c r="B75" s="844" t="s">
        <v>884</v>
      </c>
      <c r="C75" s="1070"/>
      <c r="D75" s="1070"/>
      <c r="E75" s="1070"/>
      <c r="F75" s="1063">
        <v>0.05</v>
      </c>
    </row>
    <row r="76" spans="1:6" ht="15" thickBot="1">
      <c r="A76" s="838" t="s">
        <v>523</v>
      </c>
      <c r="B76" s="839" t="s">
        <v>885</v>
      </c>
      <c r="C76" s="1058">
        <v>0.1</v>
      </c>
      <c r="D76" s="1058">
        <v>0.1</v>
      </c>
      <c r="E76" s="1058">
        <v>0.1</v>
      </c>
      <c r="F76" s="1059">
        <v>0.1</v>
      </c>
    </row>
    <row r="77" spans="1:6" ht="15" thickBot="1">
      <c r="A77" s="838" t="s">
        <v>523</v>
      </c>
      <c r="B77" s="832" t="s">
        <v>191</v>
      </c>
      <c r="C77" s="1060">
        <v>8.7999999999999995E-2</v>
      </c>
      <c r="D77" s="1060">
        <v>8.6999999999999994E-2</v>
      </c>
      <c r="E77" s="1060">
        <v>7.9000000000000001E-2</v>
      </c>
      <c r="F77" s="1061">
        <v>0.1</v>
      </c>
    </row>
    <row r="78" spans="1:6" ht="15" thickBot="1">
      <c r="A78" s="838" t="s">
        <v>523</v>
      </c>
      <c r="B78" s="832" t="s">
        <v>204</v>
      </c>
      <c r="C78" s="1060">
        <v>8.6999999999999994E-2</v>
      </c>
      <c r="D78" s="1060">
        <v>8.4000000000000005E-2</v>
      </c>
      <c r="E78" s="1060">
        <v>9.6000000000000002E-2</v>
      </c>
      <c r="F78" s="1061">
        <v>0.1</v>
      </c>
    </row>
    <row r="79" spans="1:6" ht="15" thickBot="1">
      <c r="A79" s="838" t="s">
        <v>523</v>
      </c>
      <c r="B79" s="832" t="s">
        <v>217</v>
      </c>
      <c r="C79" s="1060">
        <v>9.8000000000000004E-2</v>
      </c>
      <c r="D79" s="1060">
        <v>9.8000000000000004E-2</v>
      </c>
      <c r="E79" s="1060">
        <v>9.0999999999999998E-2</v>
      </c>
      <c r="F79" s="1061">
        <v>0.1</v>
      </c>
    </row>
    <row r="80" spans="1:6" ht="15" thickBot="1">
      <c r="A80" s="838" t="s">
        <v>523</v>
      </c>
      <c r="B80" s="832" t="s">
        <v>229</v>
      </c>
      <c r="C80" s="1060">
        <v>9.6000000000000002E-2</v>
      </c>
      <c r="D80" s="1060">
        <v>9.6000000000000002E-2</v>
      </c>
      <c r="E80" s="1060">
        <v>0.1</v>
      </c>
      <c r="F80" s="1061">
        <v>0.1</v>
      </c>
    </row>
    <row r="81" spans="1:6" ht="15" thickBot="1">
      <c r="A81" s="838" t="s">
        <v>523</v>
      </c>
      <c r="B81" s="832" t="s">
        <v>240</v>
      </c>
      <c r="C81" s="1060">
        <v>9.9000000000000005E-2</v>
      </c>
      <c r="D81" s="1060">
        <v>9.9000000000000005E-2</v>
      </c>
      <c r="E81" s="1060">
        <v>9.8000000000000004E-2</v>
      </c>
      <c r="F81" s="1061">
        <v>0.1</v>
      </c>
    </row>
    <row r="82" spans="1:6" ht="15" thickBot="1">
      <c r="A82" s="838" t="s">
        <v>523</v>
      </c>
      <c r="B82" s="832" t="s">
        <v>251</v>
      </c>
      <c r="C82" s="1060">
        <v>9.9000000000000005E-2</v>
      </c>
      <c r="D82" s="1060">
        <v>9.9000000000000005E-2</v>
      </c>
      <c r="E82" s="1060">
        <v>9.7000000000000003E-2</v>
      </c>
      <c r="F82" s="1061">
        <v>0.1</v>
      </c>
    </row>
    <row r="83" spans="1:6" ht="15" thickBot="1">
      <c r="A83" s="838" t="s">
        <v>523</v>
      </c>
      <c r="B83" s="832" t="s">
        <v>262</v>
      </c>
      <c r="C83" s="1060">
        <v>9.8000000000000004E-2</v>
      </c>
      <c r="D83" s="1060">
        <v>9.8000000000000004E-2</v>
      </c>
      <c r="E83" s="1060">
        <v>9.8000000000000004E-2</v>
      </c>
      <c r="F83" s="1061">
        <v>0.1</v>
      </c>
    </row>
    <row r="84" spans="1:6" ht="15" thickBot="1">
      <c r="A84" s="838" t="s">
        <v>523</v>
      </c>
      <c r="B84" s="832" t="s">
        <v>274</v>
      </c>
      <c r="C84" s="1060">
        <v>9.9000000000000005E-2</v>
      </c>
      <c r="D84" s="1060">
        <v>9.9000000000000005E-2</v>
      </c>
      <c r="E84" s="1060">
        <v>9.9000000000000005E-2</v>
      </c>
      <c r="F84" s="1061">
        <v>0.1</v>
      </c>
    </row>
    <row r="85" spans="1:6" ht="15" thickBot="1">
      <c r="A85" s="838" t="s">
        <v>523</v>
      </c>
      <c r="B85" s="832" t="s">
        <v>284</v>
      </c>
      <c r="C85" s="1060">
        <v>9.9000000000000005E-2</v>
      </c>
      <c r="D85" s="1060">
        <v>9.9000000000000005E-2</v>
      </c>
      <c r="E85" s="1060">
        <v>9.9000000000000005E-2</v>
      </c>
      <c r="F85" s="1061">
        <v>0.1</v>
      </c>
    </row>
    <row r="86" spans="1:6" ht="15" thickBot="1">
      <c r="A86" s="838" t="s">
        <v>523</v>
      </c>
      <c r="B86" s="832" t="s">
        <v>294</v>
      </c>
      <c r="C86" s="1060">
        <v>0.1</v>
      </c>
      <c r="D86" s="1060">
        <v>0.1</v>
      </c>
      <c r="E86" s="1060">
        <v>7.6999999999999999E-2</v>
      </c>
      <c r="F86" s="1061">
        <v>0.1</v>
      </c>
    </row>
    <row r="87" spans="1:6" ht="15" thickBot="1">
      <c r="A87" s="838" t="s">
        <v>523</v>
      </c>
      <c r="B87" s="832" t="s">
        <v>304</v>
      </c>
      <c r="C87" s="1060">
        <v>0.1</v>
      </c>
      <c r="D87" s="1060">
        <v>0.1</v>
      </c>
      <c r="E87" s="1060">
        <v>9.8000000000000004E-2</v>
      </c>
      <c r="F87" s="1072"/>
    </row>
    <row r="88" spans="1:6" ht="15" thickBot="1">
      <c r="A88" s="838" t="s">
        <v>523</v>
      </c>
      <c r="B88" s="832" t="s">
        <v>314</v>
      </c>
      <c r="C88" s="1060">
        <v>9.1999999999999998E-2</v>
      </c>
      <c r="D88" s="1060">
        <v>8.5000000000000006E-2</v>
      </c>
      <c r="E88" s="1060">
        <v>9.6000000000000002E-2</v>
      </c>
      <c r="F88" s="1072"/>
    </row>
    <row r="89" spans="1:6" ht="15" thickBot="1">
      <c r="A89" s="838" t="s">
        <v>523</v>
      </c>
      <c r="B89" s="832" t="s">
        <v>325</v>
      </c>
      <c r="C89" s="1060">
        <v>0.1</v>
      </c>
      <c r="D89" s="1060">
        <v>0.1</v>
      </c>
      <c r="E89" s="1060">
        <v>9.7000000000000003E-2</v>
      </c>
      <c r="F89" s="1072"/>
    </row>
    <row r="90" spans="1:6" ht="15" thickBot="1">
      <c r="A90" s="838" t="s">
        <v>523</v>
      </c>
      <c r="B90" s="832" t="s">
        <v>336</v>
      </c>
      <c r="C90" s="1060">
        <v>9.8000000000000004E-2</v>
      </c>
      <c r="D90" s="1060">
        <v>9.8000000000000004E-2</v>
      </c>
      <c r="E90" s="1060">
        <v>8.7999999999999995E-2</v>
      </c>
      <c r="F90" s="1072"/>
    </row>
    <row r="91" spans="1:6" ht="15" thickBot="1">
      <c r="A91" s="838" t="s">
        <v>523</v>
      </c>
      <c r="B91" s="832" t="s">
        <v>346</v>
      </c>
      <c r="C91" s="1060">
        <v>9.9000000000000005E-2</v>
      </c>
      <c r="D91" s="1060">
        <v>9.9000000000000005E-2</v>
      </c>
      <c r="E91" s="1060">
        <v>9.0999999999999998E-2</v>
      </c>
      <c r="F91" s="1072"/>
    </row>
    <row r="92" spans="1:6" ht="15" thickBot="1">
      <c r="A92" s="838" t="s">
        <v>523</v>
      </c>
      <c r="B92" s="832" t="s">
        <v>356</v>
      </c>
      <c r="C92" s="1060">
        <v>9.6000000000000002E-2</v>
      </c>
      <c r="D92" s="1060">
        <v>9.6000000000000002E-2</v>
      </c>
      <c r="E92" s="1060">
        <v>7.2999999999999995E-2</v>
      </c>
      <c r="F92" s="1072"/>
    </row>
    <row r="93" spans="1:6" ht="15" thickBot="1">
      <c r="A93" s="838" t="s">
        <v>523</v>
      </c>
      <c r="B93" s="832" t="s">
        <v>366</v>
      </c>
      <c r="C93" s="1060">
        <v>9.6000000000000002E-2</v>
      </c>
      <c r="D93" s="1060">
        <v>9.6000000000000002E-2</v>
      </c>
      <c r="E93" s="1060">
        <v>9.9000000000000005E-2</v>
      </c>
      <c r="F93" s="1072"/>
    </row>
    <row r="94" spans="1:6" ht="15" thickBot="1">
      <c r="A94" s="838" t="s">
        <v>523</v>
      </c>
      <c r="B94" s="832" t="s">
        <v>376</v>
      </c>
      <c r="C94" s="1060">
        <v>7.5999999999999998E-2</v>
      </c>
      <c r="D94" s="1060">
        <v>7.3999999999999996E-2</v>
      </c>
      <c r="E94" s="1060">
        <v>9.7000000000000003E-2</v>
      </c>
      <c r="F94" s="1072"/>
    </row>
    <row r="95" spans="1:6" ht="15" thickBot="1">
      <c r="A95" s="838" t="s">
        <v>523</v>
      </c>
      <c r="B95" s="832" t="s">
        <v>385</v>
      </c>
      <c r="C95" s="1060">
        <v>9.9000000000000005E-2</v>
      </c>
      <c r="D95" s="1060">
        <v>9.4E-2</v>
      </c>
      <c r="E95" s="1060">
        <v>9.6000000000000002E-2</v>
      </c>
      <c r="F95" s="1072"/>
    </row>
    <row r="96" spans="1:6" ht="15" thickBot="1">
      <c r="A96" s="838" t="s">
        <v>523</v>
      </c>
      <c r="B96" s="832" t="s">
        <v>394</v>
      </c>
      <c r="C96" s="1060">
        <v>9.9000000000000005E-2</v>
      </c>
      <c r="D96" s="1060">
        <v>9.9000000000000005E-2</v>
      </c>
      <c r="E96" s="1060">
        <v>9.9000000000000005E-2</v>
      </c>
      <c r="F96" s="1072"/>
    </row>
    <row r="97" spans="1:6" ht="15" thickBot="1">
      <c r="A97" s="838" t="s">
        <v>523</v>
      </c>
      <c r="B97" s="832" t="s">
        <v>402</v>
      </c>
      <c r="C97" s="1060">
        <v>9.8000000000000004E-2</v>
      </c>
      <c r="D97" s="1060">
        <v>9.8000000000000004E-2</v>
      </c>
      <c r="E97" s="1060">
        <v>9.7000000000000003E-2</v>
      </c>
      <c r="F97" s="1072"/>
    </row>
    <row r="98" spans="1:6" ht="15" thickBot="1">
      <c r="A98" s="838" t="s">
        <v>523</v>
      </c>
      <c r="B98" s="832" t="s">
        <v>409</v>
      </c>
      <c r="C98" s="1060">
        <v>0.1</v>
      </c>
      <c r="D98" s="1060">
        <v>0.1</v>
      </c>
      <c r="E98" s="1060">
        <v>9.7000000000000003E-2</v>
      </c>
      <c r="F98" s="1072"/>
    </row>
    <row r="99" spans="1:6" ht="15" thickBot="1">
      <c r="A99" s="838" t="s">
        <v>523</v>
      </c>
      <c r="B99" s="832" t="s">
        <v>416</v>
      </c>
      <c r="C99" s="1060">
        <v>0.1</v>
      </c>
      <c r="D99" s="1060">
        <v>0.1</v>
      </c>
      <c r="E99" s="1073"/>
      <c r="F99" s="1072"/>
    </row>
    <row r="100" spans="1:6" ht="15" thickBot="1">
      <c r="A100" s="838" t="s">
        <v>523</v>
      </c>
      <c r="B100" s="832" t="s">
        <v>423</v>
      </c>
      <c r="C100" s="1060">
        <v>0.09</v>
      </c>
      <c r="D100" s="1060">
        <v>8.8999999999999996E-2</v>
      </c>
      <c r="E100" s="1073"/>
      <c r="F100" s="1072"/>
    </row>
    <row r="101" spans="1:6" ht="15" thickBot="1">
      <c r="A101" s="838" t="s">
        <v>523</v>
      </c>
      <c r="B101" s="832" t="s">
        <v>430</v>
      </c>
      <c r="C101" s="1060">
        <v>9.8000000000000004E-2</v>
      </c>
      <c r="D101" s="1060">
        <v>9.7000000000000003E-2</v>
      </c>
      <c r="E101" s="1073"/>
      <c r="F101" s="1072"/>
    </row>
    <row r="102" spans="1:6" ht="24.6" thickBot="1">
      <c r="A102" s="838" t="s">
        <v>523</v>
      </c>
      <c r="B102" s="832" t="s">
        <v>886</v>
      </c>
      <c r="C102" s="1073"/>
      <c r="D102" s="1073"/>
      <c r="E102" s="1073"/>
      <c r="F102" s="1061">
        <v>0.05</v>
      </c>
    </row>
    <row r="103" spans="1:6" ht="24.6" thickBot="1">
      <c r="A103" s="838" t="s">
        <v>523</v>
      </c>
      <c r="B103" s="832" t="s">
        <v>887</v>
      </c>
      <c r="C103" s="1073"/>
      <c r="D103" s="1073"/>
      <c r="E103" s="1073"/>
      <c r="F103" s="1061">
        <v>0.05</v>
      </c>
    </row>
    <row r="104" spans="1:6" ht="15" thickBot="1">
      <c r="A104" s="838" t="s">
        <v>523</v>
      </c>
      <c r="B104" s="832" t="s">
        <v>888</v>
      </c>
      <c r="C104" s="1073"/>
      <c r="D104" s="1073"/>
      <c r="E104" s="1073"/>
      <c r="F104" s="1061">
        <v>0.05</v>
      </c>
    </row>
    <row r="105" spans="1:6" ht="24.6" thickBot="1">
      <c r="A105" s="838" t="s">
        <v>523</v>
      </c>
      <c r="B105" s="832" t="s">
        <v>889</v>
      </c>
      <c r="C105" s="1073"/>
      <c r="D105" s="1073"/>
      <c r="E105" s="1073"/>
      <c r="F105" s="1061">
        <v>0.05</v>
      </c>
    </row>
    <row r="106" spans="1:6" ht="24.6" thickBot="1">
      <c r="A106" s="838" t="s">
        <v>523</v>
      </c>
      <c r="B106" s="832" t="s">
        <v>890</v>
      </c>
      <c r="C106" s="1073"/>
      <c r="D106" s="1073"/>
      <c r="E106" s="1073"/>
      <c r="F106" s="1061">
        <v>0.05</v>
      </c>
    </row>
    <row r="107" spans="1:6" ht="24.6" thickBot="1">
      <c r="A107" s="838" t="s">
        <v>523</v>
      </c>
      <c r="B107" s="832" t="s">
        <v>891</v>
      </c>
      <c r="C107" s="1073"/>
      <c r="D107" s="1073"/>
      <c r="E107" s="1073"/>
      <c r="F107" s="1061">
        <v>0.05</v>
      </c>
    </row>
    <row r="108" spans="1:6" ht="24.6" thickBot="1">
      <c r="A108" s="838" t="s">
        <v>523</v>
      </c>
      <c r="B108" s="832" t="s">
        <v>892</v>
      </c>
      <c r="C108" s="1073"/>
      <c r="D108" s="1073"/>
      <c r="E108" s="1073"/>
      <c r="F108" s="1061">
        <v>0.05</v>
      </c>
    </row>
    <row r="109" spans="1:6" ht="24.6" thickBot="1">
      <c r="A109" s="848" t="s">
        <v>523</v>
      </c>
      <c r="B109" s="844" t="s">
        <v>893</v>
      </c>
      <c r="C109" s="1070"/>
      <c r="D109" s="1070"/>
      <c r="E109" s="1070"/>
      <c r="F109" s="1063">
        <v>0.05</v>
      </c>
    </row>
    <row r="110" spans="1:6" ht="15" thickBot="1">
      <c r="A110" s="838" t="s">
        <v>56</v>
      </c>
      <c r="B110" s="839" t="s">
        <v>894</v>
      </c>
      <c r="C110" s="1058">
        <v>0.129</v>
      </c>
      <c r="D110" s="1058">
        <v>0.129</v>
      </c>
      <c r="E110" s="1058">
        <v>0.126</v>
      </c>
      <c r="F110" s="1059">
        <v>0.13</v>
      </c>
    </row>
    <row r="111" spans="1:6" ht="15" thickBot="1">
      <c r="A111" s="838" t="s">
        <v>56</v>
      </c>
      <c r="B111" s="832" t="s">
        <v>192</v>
      </c>
      <c r="C111" s="1060">
        <v>0.11</v>
      </c>
      <c r="D111" s="1060">
        <v>0.11</v>
      </c>
      <c r="E111" s="1060">
        <v>9.9000000000000005E-2</v>
      </c>
      <c r="F111" s="1061">
        <v>0.128</v>
      </c>
    </row>
    <row r="112" spans="1:6" ht="15" thickBot="1">
      <c r="A112" s="838" t="s">
        <v>56</v>
      </c>
      <c r="B112" s="832" t="s">
        <v>205</v>
      </c>
      <c r="C112" s="1060">
        <v>0.125</v>
      </c>
      <c r="D112" s="1060">
        <v>0.125</v>
      </c>
      <c r="E112" s="1060">
        <v>0.12</v>
      </c>
      <c r="F112" s="1061">
        <v>0.125</v>
      </c>
    </row>
    <row r="113" spans="1:6" ht="15" thickBot="1">
      <c r="A113" s="838" t="s">
        <v>56</v>
      </c>
      <c r="B113" s="832" t="s">
        <v>218</v>
      </c>
      <c r="C113" s="1060">
        <v>0.13</v>
      </c>
      <c r="D113" s="1060">
        <v>0.13</v>
      </c>
      <c r="E113" s="1060">
        <v>0.13</v>
      </c>
      <c r="F113" s="1061">
        <v>0.13</v>
      </c>
    </row>
    <row r="114" spans="1:6" ht="15" thickBot="1">
      <c r="A114" s="838" t="s">
        <v>56</v>
      </c>
      <c r="B114" s="832" t="s">
        <v>230</v>
      </c>
      <c r="C114" s="1060">
        <v>0.123</v>
      </c>
      <c r="D114" s="1060">
        <v>0.123</v>
      </c>
      <c r="E114" s="1060">
        <v>0.12</v>
      </c>
      <c r="F114" s="1061">
        <v>0.13</v>
      </c>
    </row>
    <row r="115" spans="1:6" ht="15" thickBot="1">
      <c r="A115" s="838" t="s">
        <v>56</v>
      </c>
      <c r="B115" s="832" t="s">
        <v>241</v>
      </c>
      <c r="C115" s="1060">
        <v>0.125</v>
      </c>
      <c r="D115" s="1060">
        <v>0.125</v>
      </c>
      <c r="E115" s="1060">
        <v>0.11700000000000001</v>
      </c>
      <c r="F115" s="1061">
        <v>0.13</v>
      </c>
    </row>
    <row r="116" spans="1:6" ht="15" thickBot="1">
      <c r="A116" s="838" t="s">
        <v>56</v>
      </c>
      <c r="B116" s="832" t="s">
        <v>252</v>
      </c>
      <c r="C116" s="1060">
        <v>0.11700000000000001</v>
      </c>
      <c r="D116" s="1060">
        <v>0.11700000000000001</v>
      </c>
      <c r="E116" s="1060">
        <v>8.7999999999999995E-2</v>
      </c>
      <c r="F116" s="1061">
        <v>0.13</v>
      </c>
    </row>
    <row r="117" spans="1:6" ht="15" thickBot="1">
      <c r="A117" s="838" t="s">
        <v>56</v>
      </c>
      <c r="B117" s="832" t="s">
        <v>263</v>
      </c>
      <c r="C117" s="1060">
        <v>0.13</v>
      </c>
      <c r="D117" s="1060">
        <v>0.13</v>
      </c>
      <c r="E117" s="1060">
        <v>0.129</v>
      </c>
      <c r="F117" s="1061">
        <v>0.13</v>
      </c>
    </row>
    <row r="118" spans="1:6" ht="15" thickBot="1">
      <c r="A118" s="838" t="s">
        <v>56</v>
      </c>
      <c r="B118" s="832" t="s">
        <v>275</v>
      </c>
      <c r="C118" s="1060">
        <v>0.123</v>
      </c>
      <c r="D118" s="1060">
        <v>0.123</v>
      </c>
      <c r="E118" s="1060">
        <v>0.11600000000000001</v>
      </c>
      <c r="F118" s="1061">
        <v>0.13</v>
      </c>
    </row>
    <row r="119" spans="1:6" ht="15" thickBot="1">
      <c r="A119" s="838" t="s">
        <v>56</v>
      </c>
      <c r="B119" s="832" t="s">
        <v>285</v>
      </c>
      <c r="C119" s="1060">
        <v>0.127</v>
      </c>
      <c r="D119" s="1060">
        <v>0.127</v>
      </c>
      <c r="E119" s="1060">
        <v>0.124</v>
      </c>
      <c r="F119" s="1061">
        <v>0.13</v>
      </c>
    </row>
    <row r="120" spans="1:6" ht="15" thickBot="1">
      <c r="A120" s="838" t="s">
        <v>56</v>
      </c>
      <c r="B120" s="832" t="s">
        <v>295</v>
      </c>
      <c r="C120" s="1060">
        <v>0.125</v>
      </c>
      <c r="D120" s="1060">
        <v>0.125</v>
      </c>
      <c r="E120" s="1060">
        <v>0.122</v>
      </c>
      <c r="F120" s="1061">
        <v>0.13</v>
      </c>
    </row>
    <row r="121" spans="1:6" ht="15" thickBot="1">
      <c r="A121" s="838" t="s">
        <v>56</v>
      </c>
      <c r="B121" s="832" t="s">
        <v>305</v>
      </c>
      <c r="C121" s="1060">
        <v>0.13</v>
      </c>
      <c r="D121" s="1060">
        <v>0.13</v>
      </c>
      <c r="E121" s="1060">
        <v>0.13</v>
      </c>
      <c r="F121" s="1061">
        <v>0.13</v>
      </c>
    </row>
    <row r="122" spans="1:6" ht="15" thickBot="1">
      <c r="A122" s="838" t="s">
        <v>56</v>
      </c>
      <c r="B122" s="832" t="s">
        <v>315</v>
      </c>
      <c r="C122" s="1060">
        <v>0.13</v>
      </c>
      <c r="D122" s="1060">
        <v>0.13</v>
      </c>
      <c r="E122" s="1060">
        <v>0.125</v>
      </c>
      <c r="F122" s="1061">
        <v>0.13</v>
      </c>
    </row>
    <row r="123" spans="1:6" ht="15" thickBot="1">
      <c r="A123" s="838" t="s">
        <v>56</v>
      </c>
      <c r="B123" s="832" t="s">
        <v>326</v>
      </c>
      <c r="C123" s="1060">
        <v>0.129</v>
      </c>
      <c r="D123" s="1060">
        <v>0.129</v>
      </c>
      <c r="E123" s="1060">
        <v>0.123</v>
      </c>
      <c r="F123" s="1061">
        <v>0.13</v>
      </c>
    </row>
    <row r="124" spans="1:6" ht="15" thickBot="1">
      <c r="A124" s="838" t="s">
        <v>56</v>
      </c>
      <c r="B124" s="832" t="s">
        <v>337</v>
      </c>
      <c r="C124" s="1060">
        <v>0.10199999999999999</v>
      </c>
      <c r="D124" s="1060">
        <v>0.10100000000000001</v>
      </c>
      <c r="E124" s="1060">
        <v>0.08</v>
      </c>
      <c r="F124" s="1072"/>
    </row>
    <row r="125" spans="1:6" ht="15" thickBot="1">
      <c r="A125" s="838" t="s">
        <v>56</v>
      </c>
      <c r="B125" s="832" t="s">
        <v>347</v>
      </c>
      <c r="C125" s="1060">
        <v>0.13</v>
      </c>
      <c r="D125" s="1060">
        <v>0.13</v>
      </c>
      <c r="E125" s="1060">
        <v>0.129</v>
      </c>
      <c r="F125" s="1072"/>
    </row>
    <row r="126" spans="1:6" ht="15" thickBot="1">
      <c r="A126" s="838" t="s">
        <v>56</v>
      </c>
      <c r="B126" s="832" t="s">
        <v>357</v>
      </c>
      <c r="C126" s="1060">
        <v>0.13</v>
      </c>
      <c r="D126" s="1060">
        <v>0.13</v>
      </c>
      <c r="E126" s="1060">
        <v>0.126</v>
      </c>
      <c r="F126" s="1072"/>
    </row>
    <row r="127" spans="1:6" ht="15" thickBot="1">
      <c r="A127" s="838" t="s">
        <v>56</v>
      </c>
      <c r="B127" s="832" t="s">
        <v>367</v>
      </c>
      <c r="C127" s="1060">
        <v>0.125</v>
      </c>
      <c r="D127" s="1060">
        <v>0.125</v>
      </c>
      <c r="E127" s="1060">
        <v>0.121</v>
      </c>
      <c r="F127" s="1072"/>
    </row>
    <row r="128" spans="1:6" ht="15" thickBot="1">
      <c r="A128" s="838" t="s">
        <v>56</v>
      </c>
      <c r="B128" s="832" t="s">
        <v>377</v>
      </c>
      <c r="C128" s="1060">
        <v>0.12</v>
      </c>
      <c r="D128" s="1060">
        <v>0.12</v>
      </c>
      <c r="E128" s="1060">
        <v>0.105</v>
      </c>
      <c r="F128" s="1072"/>
    </row>
    <row r="129" spans="1:6" ht="15" thickBot="1">
      <c r="A129" s="838" t="s">
        <v>56</v>
      </c>
      <c r="B129" s="832" t="s">
        <v>386</v>
      </c>
      <c r="C129" s="1060">
        <v>0.13</v>
      </c>
      <c r="D129" s="1060">
        <v>0.13</v>
      </c>
      <c r="E129" s="1060">
        <v>0.126</v>
      </c>
      <c r="F129" s="1072"/>
    </row>
    <row r="130" spans="1:6" ht="15" thickBot="1">
      <c r="A130" s="838" t="s">
        <v>56</v>
      </c>
      <c r="B130" s="832" t="s">
        <v>395</v>
      </c>
      <c r="C130" s="1060">
        <v>0.125</v>
      </c>
      <c r="D130" s="1060">
        <v>0.125</v>
      </c>
      <c r="E130" s="1060">
        <v>0.122</v>
      </c>
      <c r="F130" s="1072"/>
    </row>
    <row r="131" spans="1:6" ht="15" thickBot="1">
      <c r="A131" s="838" t="s">
        <v>56</v>
      </c>
      <c r="B131" s="832" t="s">
        <v>403</v>
      </c>
      <c r="C131" s="1060">
        <v>0.127</v>
      </c>
      <c r="D131" s="1060">
        <v>0.126</v>
      </c>
      <c r="E131" s="1060">
        <v>0.123</v>
      </c>
      <c r="F131" s="1072"/>
    </row>
    <row r="132" spans="1:6" ht="15" thickBot="1">
      <c r="A132" s="838" t="s">
        <v>56</v>
      </c>
      <c r="B132" s="832" t="s">
        <v>410</v>
      </c>
      <c r="C132" s="1060">
        <v>9.0999999999999998E-2</v>
      </c>
      <c r="D132" s="1060">
        <v>0.121</v>
      </c>
      <c r="E132" s="1060">
        <v>9.9000000000000005E-2</v>
      </c>
      <c r="F132" s="1072"/>
    </row>
    <row r="133" spans="1:6" ht="15" thickBot="1">
      <c r="A133" s="838" t="s">
        <v>56</v>
      </c>
      <c r="B133" s="832" t="s">
        <v>417</v>
      </c>
      <c r="C133" s="1060">
        <v>0.13</v>
      </c>
      <c r="D133" s="1060">
        <v>0.13</v>
      </c>
      <c r="E133" s="1060">
        <v>0.129</v>
      </c>
      <c r="F133" s="1072"/>
    </row>
    <row r="134" spans="1:6" ht="15" thickBot="1">
      <c r="A134" s="838" t="s">
        <v>56</v>
      </c>
      <c r="B134" s="832" t="s">
        <v>895</v>
      </c>
      <c r="C134" s="1060">
        <v>6.8000000000000005E-2</v>
      </c>
      <c r="D134" s="1060">
        <v>6.5000000000000002E-2</v>
      </c>
      <c r="E134" s="1060">
        <v>6.5000000000000002E-2</v>
      </c>
      <c r="F134" s="1061">
        <v>0.13</v>
      </c>
    </row>
    <row r="135" spans="1:6" ht="15" thickBot="1">
      <c r="A135" s="838" t="s">
        <v>56</v>
      </c>
      <c r="B135" s="832" t="s">
        <v>431</v>
      </c>
      <c r="C135" s="1060">
        <v>0.123</v>
      </c>
      <c r="D135" s="1060">
        <v>0.123</v>
      </c>
      <c r="E135" s="1060">
        <v>0.11</v>
      </c>
      <c r="F135" s="1072"/>
    </row>
    <row r="136" spans="1:6" ht="15" thickBot="1">
      <c r="A136" s="838" t="s">
        <v>56</v>
      </c>
      <c r="B136" s="832" t="s">
        <v>438</v>
      </c>
      <c r="C136" s="1060">
        <v>0.13</v>
      </c>
      <c r="D136" s="1060">
        <v>0.13</v>
      </c>
      <c r="E136" s="1060">
        <v>0.125</v>
      </c>
      <c r="F136" s="1072"/>
    </row>
    <row r="137" spans="1:6" ht="15" thickBot="1">
      <c r="A137" s="838" t="s">
        <v>56</v>
      </c>
      <c r="B137" s="832" t="s">
        <v>445</v>
      </c>
      <c r="C137" s="1060">
        <v>0.121</v>
      </c>
      <c r="D137" s="1060">
        <v>0.122</v>
      </c>
      <c r="E137" s="1060">
        <v>0.115</v>
      </c>
      <c r="F137" s="1072"/>
    </row>
    <row r="138" spans="1:6" ht="15" thickBot="1">
      <c r="A138" s="838" t="s">
        <v>56</v>
      </c>
      <c r="B138" s="832" t="s">
        <v>896</v>
      </c>
      <c r="C138" s="1060">
        <v>0.105</v>
      </c>
      <c r="D138" s="1060">
        <v>0.125</v>
      </c>
      <c r="E138" s="1060">
        <v>0.112</v>
      </c>
      <c r="F138" s="1072"/>
    </row>
    <row r="139" spans="1:6" ht="15" thickBot="1">
      <c r="A139" s="838" t="s">
        <v>56</v>
      </c>
      <c r="B139" s="832" t="s">
        <v>897</v>
      </c>
      <c r="C139" s="1060">
        <v>0.127</v>
      </c>
      <c r="D139" s="1060">
        <v>0.127</v>
      </c>
      <c r="E139" s="1060">
        <v>0.122</v>
      </c>
      <c r="F139" s="1061">
        <v>0.13</v>
      </c>
    </row>
    <row r="140" spans="1:6" ht="15" thickBot="1">
      <c r="A140" s="838" t="s">
        <v>56</v>
      </c>
      <c r="B140" s="832" t="s">
        <v>898</v>
      </c>
      <c r="C140" s="1060">
        <v>0.125</v>
      </c>
      <c r="D140" s="1060">
        <v>0.125</v>
      </c>
      <c r="E140" s="1060">
        <v>0.11899999999999999</v>
      </c>
      <c r="F140" s="1061">
        <v>0.13</v>
      </c>
    </row>
    <row r="141" spans="1:6" ht="15" thickBot="1">
      <c r="A141" s="838" t="s">
        <v>56</v>
      </c>
      <c r="B141" s="832" t="s">
        <v>464</v>
      </c>
      <c r="C141" s="1060">
        <v>0.125</v>
      </c>
      <c r="D141" s="1060">
        <v>0.125</v>
      </c>
      <c r="E141" s="1060">
        <v>0.11700000000000001</v>
      </c>
      <c r="F141" s="1072"/>
    </row>
    <row r="142" spans="1:6" ht="15" thickBot="1">
      <c r="A142" s="838" t="s">
        <v>56</v>
      </c>
      <c r="B142" s="832" t="s">
        <v>469</v>
      </c>
      <c r="C142" s="1060">
        <v>0.125</v>
      </c>
      <c r="D142" s="1060">
        <v>0.125</v>
      </c>
      <c r="E142" s="1060">
        <v>0.115</v>
      </c>
      <c r="F142" s="1072"/>
    </row>
    <row r="143" spans="1:6" ht="15" thickBot="1">
      <c r="A143" s="838" t="s">
        <v>56</v>
      </c>
      <c r="B143" s="832" t="s">
        <v>474</v>
      </c>
      <c r="C143" s="1060">
        <v>0.121</v>
      </c>
      <c r="D143" s="1060">
        <v>0.121</v>
      </c>
      <c r="E143" s="1060">
        <v>0.108</v>
      </c>
      <c r="F143" s="1072"/>
    </row>
    <row r="144" spans="1:6" ht="15" thickBot="1">
      <c r="A144" s="838" t="s">
        <v>56</v>
      </c>
      <c r="B144" s="1064" t="s">
        <v>899</v>
      </c>
      <c r="C144" s="1065">
        <v>0.126</v>
      </c>
      <c r="D144" s="1065">
        <v>0.126</v>
      </c>
      <c r="E144" s="1065">
        <v>0.121</v>
      </c>
      <c r="F144" s="1072"/>
    </row>
    <row r="145" spans="1:6" ht="15" thickBot="1">
      <c r="A145" s="848" t="s">
        <v>56</v>
      </c>
      <c r="B145" s="1066" t="s">
        <v>900</v>
      </c>
      <c r="C145" s="1074"/>
      <c r="D145" s="1074"/>
      <c r="E145" s="1074"/>
      <c r="F145" s="1067">
        <v>0.05</v>
      </c>
    </row>
    <row r="146" spans="1:6" ht="24.6" thickBot="1">
      <c r="A146" s="1068" t="s">
        <v>56</v>
      </c>
      <c r="B146" s="842" t="s">
        <v>901</v>
      </c>
      <c r="C146" s="1073"/>
      <c r="D146" s="1073"/>
      <c r="E146" s="1073"/>
      <c r="F146" s="1069">
        <v>0.05</v>
      </c>
    </row>
    <row r="147" spans="1:6" ht="24.6" thickBot="1">
      <c r="A147" s="838" t="s">
        <v>56</v>
      </c>
      <c r="B147" s="832" t="s">
        <v>902</v>
      </c>
      <c r="C147" s="1073"/>
      <c r="D147" s="1073"/>
      <c r="E147" s="1073"/>
      <c r="F147" s="1061">
        <v>0.05</v>
      </c>
    </row>
    <row r="148" spans="1:6" ht="24.6" thickBot="1">
      <c r="A148" s="838" t="s">
        <v>56</v>
      </c>
      <c r="B148" s="832" t="s">
        <v>903</v>
      </c>
      <c r="C148" s="1073"/>
      <c r="D148" s="1073"/>
      <c r="E148" s="1073"/>
      <c r="F148" s="1061">
        <v>0.05</v>
      </c>
    </row>
    <row r="149" spans="1:6" ht="24.6" thickBot="1">
      <c r="A149" s="838" t="s">
        <v>56</v>
      </c>
      <c r="B149" s="832" t="s">
        <v>904</v>
      </c>
      <c r="C149" s="1073"/>
      <c r="D149" s="1073"/>
      <c r="E149" s="1073"/>
      <c r="F149" s="1061">
        <v>0.05</v>
      </c>
    </row>
    <row r="150" spans="1:6" ht="24.6" thickBot="1">
      <c r="A150" s="838" t="s">
        <v>56</v>
      </c>
      <c r="B150" s="832" t="s">
        <v>905</v>
      </c>
      <c r="C150" s="1073"/>
      <c r="D150" s="1073"/>
      <c r="E150" s="1073"/>
      <c r="F150" s="1061">
        <v>0.05</v>
      </c>
    </row>
    <row r="151" spans="1:6" ht="24.6" thickBot="1">
      <c r="A151" s="838" t="s">
        <v>56</v>
      </c>
      <c r="B151" s="832" t="s">
        <v>906</v>
      </c>
      <c r="C151" s="1073"/>
      <c r="D151" s="1073"/>
      <c r="E151" s="1073"/>
      <c r="F151" s="1061">
        <v>0.05</v>
      </c>
    </row>
    <row r="152" spans="1:6" ht="24.6" thickBot="1">
      <c r="A152" s="838" t="s">
        <v>56</v>
      </c>
      <c r="B152" s="832" t="s">
        <v>507</v>
      </c>
      <c r="C152" s="1073"/>
      <c r="D152" s="1073"/>
      <c r="E152" s="1073"/>
      <c r="F152" s="1061">
        <v>0.05</v>
      </c>
    </row>
    <row r="153" spans="1:6" ht="15" thickBot="1">
      <c r="A153" s="838" t="s">
        <v>56</v>
      </c>
      <c r="B153" s="832" t="s">
        <v>907</v>
      </c>
      <c r="C153" s="1073"/>
      <c r="D153" s="1073"/>
      <c r="E153" s="1073"/>
      <c r="F153" s="1061">
        <v>0.05</v>
      </c>
    </row>
    <row r="154" spans="1:6" ht="15" thickBot="1">
      <c r="A154" s="838" t="s">
        <v>56</v>
      </c>
      <c r="B154" s="832" t="s">
        <v>908</v>
      </c>
      <c r="C154" s="1073"/>
      <c r="D154" s="1073"/>
      <c r="E154" s="1073"/>
      <c r="F154" s="1061">
        <v>0.05</v>
      </c>
    </row>
    <row r="155" spans="1:6" ht="24.6" thickBot="1">
      <c r="A155" s="838" t="s">
        <v>56</v>
      </c>
      <c r="B155" s="832" t="s">
        <v>909</v>
      </c>
      <c r="C155" s="1073"/>
      <c r="D155" s="1073"/>
      <c r="E155" s="1073"/>
      <c r="F155" s="1061">
        <v>0.05</v>
      </c>
    </row>
    <row r="156" spans="1:6" ht="24.6" thickBot="1">
      <c r="A156" s="838" t="s">
        <v>56</v>
      </c>
      <c r="B156" s="832" t="s">
        <v>910</v>
      </c>
      <c r="C156" s="1073"/>
      <c r="D156" s="1073"/>
      <c r="E156" s="1073"/>
      <c r="F156" s="1061">
        <v>0.05</v>
      </c>
    </row>
    <row r="157" spans="1:6" ht="24.6" thickBot="1">
      <c r="A157" s="848" t="s">
        <v>56</v>
      </c>
      <c r="B157" s="844" t="s">
        <v>911</v>
      </c>
      <c r="C157" s="1070"/>
      <c r="D157" s="1070"/>
      <c r="E157" s="1070"/>
      <c r="F157" s="1063">
        <v>0.05</v>
      </c>
    </row>
    <row r="158" spans="1:6" ht="15" thickBot="1">
      <c r="A158" s="838" t="s">
        <v>526</v>
      </c>
      <c r="B158" s="839" t="s">
        <v>912</v>
      </c>
      <c r="C158" s="1058">
        <v>0.13</v>
      </c>
      <c r="D158" s="1058">
        <v>0.13</v>
      </c>
      <c r="E158" s="1058">
        <v>0.13</v>
      </c>
      <c r="F158" s="1059">
        <v>0.13</v>
      </c>
    </row>
    <row r="159" spans="1:6" ht="15" thickBot="1">
      <c r="A159" s="838" t="s">
        <v>526</v>
      </c>
      <c r="B159" s="832" t="s">
        <v>193</v>
      </c>
      <c r="C159" s="1060">
        <v>0.13</v>
      </c>
      <c r="D159" s="1060">
        <v>0.13</v>
      </c>
      <c r="E159" s="1060">
        <v>0.13</v>
      </c>
      <c r="F159" s="1061">
        <v>0.13</v>
      </c>
    </row>
    <row r="160" spans="1:6" ht="15" thickBot="1">
      <c r="A160" s="838" t="s">
        <v>526</v>
      </c>
      <c r="B160" s="832" t="s">
        <v>206</v>
      </c>
      <c r="C160" s="1060">
        <v>0.13</v>
      </c>
      <c r="D160" s="1060">
        <v>0.13</v>
      </c>
      <c r="E160" s="1060">
        <v>0.129</v>
      </c>
      <c r="F160" s="1061">
        <v>0.13</v>
      </c>
    </row>
    <row r="161" spans="1:6" ht="15" thickBot="1">
      <c r="A161" s="838" t="s">
        <v>526</v>
      </c>
      <c r="B161" s="832" t="s">
        <v>219</v>
      </c>
      <c r="C161" s="1060">
        <v>0.128</v>
      </c>
      <c r="D161" s="1060">
        <v>0.128</v>
      </c>
      <c r="E161" s="1060">
        <v>0.125</v>
      </c>
      <c r="F161" s="1061">
        <v>0.13</v>
      </c>
    </row>
    <row r="162" spans="1:6" ht="15" thickBot="1">
      <c r="A162" s="838" t="s">
        <v>526</v>
      </c>
      <c r="B162" s="832" t="s">
        <v>231</v>
      </c>
      <c r="C162" s="1060">
        <v>0.122</v>
      </c>
      <c r="D162" s="1060">
        <v>0.122</v>
      </c>
      <c r="E162" s="1060">
        <v>0.126</v>
      </c>
      <c r="F162" s="1061">
        <v>0.122</v>
      </c>
    </row>
    <row r="163" spans="1:6" ht="15" thickBot="1">
      <c r="A163" s="838" t="s">
        <v>526</v>
      </c>
      <c r="B163" s="832" t="s">
        <v>242</v>
      </c>
      <c r="C163" s="1060">
        <v>0.13</v>
      </c>
      <c r="D163" s="1060">
        <v>0.13</v>
      </c>
      <c r="E163" s="1060">
        <v>0.125</v>
      </c>
      <c r="F163" s="1061">
        <v>0.13</v>
      </c>
    </row>
    <row r="164" spans="1:6" ht="15" thickBot="1">
      <c r="A164" s="838" t="s">
        <v>526</v>
      </c>
      <c r="B164" s="832" t="s">
        <v>253</v>
      </c>
      <c r="C164" s="1060">
        <v>0.13</v>
      </c>
      <c r="D164" s="1060">
        <v>0.13</v>
      </c>
      <c r="E164" s="1060">
        <v>0.13</v>
      </c>
      <c r="F164" s="1061">
        <v>0.13</v>
      </c>
    </row>
    <row r="165" spans="1:6" ht="15" thickBot="1">
      <c r="A165" s="838" t="s">
        <v>526</v>
      </c>
      <c r="B165" s="832" t="s">
        <v>264</v>
      </c>
      <c r="C165" s="1060">
        <v>0.13</v>
      </c>
      <c r="D165" s="1060">
        <v>0.13</v>
      </c>
      <c r="E165" s="1060">
        <v>0.124</v>
      </c>
      <c r="F165" s="1061">
        <v>0.13</v>
      </c>
    </row>
    <row r="166" spans="1:6" ht="15" thickBot="1">
      <c r="A166" s="838" t="s">
        <v>526</v>
      </c>
      <c r="B166" s="832" t="s">
        <v>276</v>
      </c>
      <c r="C166" s="1060">
        <v>0.13</v>
      </c>
      <c r="D166" s="1060">
        <v>0.13</v>
      </c>
      <c r="E166" s="1060">
        <v>0.13</v>
      </c>
      <c r="F166" s="1061">
        <v>0.13</v>
      </c>
    </row>
    <row r="167" spans="1:6" ht="15" thickBot="1">
      <c r="A167" s="838" t="s">
        <v>526</v>
      </c>
      <c r="B167" s="832" t="s">
        <v>286</v>
      </c>
      <c r="C167" s="1060">
        <v>0.125</v>
      </c>
      <c r="D167" s="1060">
        <v>0.125</v>
      </c>
      <c r="E167" s="1060">
        <v>0.121</v>
      </c>
      <c r="F167" s="1072"/>
    </row>
    <row r="168" spans="1:6" ht="15" thickBot="1">
      <c r="A168" s="838" t="s">
        <v>526</v>
      </c>
      <c r="B168" s="832" t="s">
        <v>296</v>
      </c>
      <c r="C168" s="1060">
        <v>0.13</v>
      </c>
      <c r="D168" s="1060">
        <v>0.13</v>
      </c>
      <c r="E168" s="1060">
        <v>0.126</v>
      </c>
      <c r="F168" s="1072"/>
    </row>
    <row r="169" spans="1:6" ht="15" thickBot="1">
      <c r="A169" s="838" t="s">
        <v>526</v>
      </c>
      <c r="B169" s="832" t="s">
        <v>306</v>
      </c>
      <c r="C169" s="1060">
        <v>0.128</v>
      </c>
      <c r="D169" s="1060">
        <v>0.129</v>
      </c>
      <c r="E169" s="1060">
        <v>0.13</v>
      </c>
      <c r="F169" s="1072"/>
    </row>
    <row r="170" spans="1:6" ht="15" thickBot="1">
      <c r="A170" s="838" t="s">
        <v>526</v>
      </c>
      <c r="B170" s="832" t="s">
        <v>316</v>
      </c>
      <c r="C170" s="1060">
        <v>0.14099999999999999</v>
      </c>
      <c r="D170" s="1060">
        <v>0.13</v>
      </c>
      <c r="E170" s="1060">
        <v>0.125</v>
      </c>
      <c r="F170" s="1072"/>
    </row>
    <row r="171" spans="1:6" ht="15" thickBot="1">
      <c r="A171" s="838" t="s">
        <v>526</v>
      </c>
      <c r="B171" s="832" t="s">
        <v>913</v>
      </c>
      <c r="C171" s="1060">
        <v>0.127</v>
      </c>
      <c r="D171" s="1060">
        <v>0.126</v>
      </c>
      <c r="E171" s="1060">
        <v>0.126</v>
      </c>
      <c r="F171" s="1061">
        <v>0.11799999999999999</v>
      </c>
    </row>
    <row r="172" spans="1:6" ht="15" thickBot="1">
      <c r="A172" s="838" t="s">
        <v>526</v>
      </c>
      <c r="B172" s="832" t="s">
        <v>914</v>
      </c>
      <c r="C172" s="1060">
        <v>0.13</v>
      </c>
      <c r="D172" s="1060">
        <v>0.13</v>
      </c>
      <c r="E172" s="1060">
        <v>0.13</v>
      </c>
      <c r="F172" s="1072"/>
    </row>
    <row r="173" spans="1:6" ht="15" thickBot="1">
      <c r="A173" s="838" t="s">
        <v>526</v>
      </c>
      <c r="B173" s="832" t="s">
        <v>348</v>
      </c>
      <c r="C173" s="1060">
        <v>0.13</v>
      </c>
      <c r="D173" s="1060">
        <v>0.13</v>
      </c>
      <c r="E173" s="1060">
        <v>0.13</v>
      </c>
      <c r="F173" s="1072"/>
    </row>
    <row r="174" spans="1:6" ht="15" thickBot="1">
      <c r="A174" s="838" t="s">
        <v>526</v>
      </c>
      <c r="B174" s="832" t="s">
        <v>915</v>
      </c>
      <c r="C174" s="1060">
        <v>0.13</v>
      </c>
      <c r="D174" s="1060">
        <v>0.13</v>
      </c>
      <c r="E174" s="1060">
        <v>0.13</v>
      </c>
      <c r="F174" s="1061">
        <v>0.13</v>
      </c>
    </row>
    <row r="175" spans="1:6" ht="15" thickBot="1">
      <c r="A175" s="838" t="s">
        <v>526</v>
      </c>
      <c r="B175" s="832" t="s">
        <v>916</v>
      </c>
      <c r="C175" s="1060">
        <v>0.13</v>
      </c>
      <c r="D175" s="1060">
        <v>0.13</v>
      </c>
      <c r="E175" s="1060">
        <v>0.13</v>
      </c>
      <c r="F175" s="1061">
        <v>0.13</v>
      </c>
    </row>
    <row r="176" spans="1:6" ht="15" thickBot="1">
      <c r="A176" s="838" t="s">
        <v>526</v>
      </c>
      <c r="B176" s="832" t="s">
        <v>378</v>
      </c>
      <c r="C176" s="1060">
        <v>0.13</v>
      </c>
      <c r="D176" s="1060">
        <v>0.13</v>
      </c>
      <c r="E176" s="1060">
        <v>0.13</v>
      </c>
      <c r="F176" s="1061">
        <v>0.13</v>
      </c>
    </row>
    <row r="177" spans="1:6" ht="15" thickBot="1">
      <c r="A177" s="838" t="s">
        <v>526</v>
      </c>
      <c r="B177" s="832" t="s">
        <v>917</v>
      </c>
      <c r="C177" s="1060">
        <v>0.13</v>
      </c>
      <c r="D177" s="1060">
        <v>0.13</v>
      </c>
      <c r="E177" s="1060">
        <v>0.13</v>
      </c>
      <c r="F177" s="1061">
        <v>0.13</v>
      </c>
    </row>
    <row r="178" spans="1:6" ht="15" thickBot="1">
      <c r="A178" s="838" t="s">
        <v>526</v>
      </c>
      <c r="B178" s="832" t="s">
        <v>396</v>
      </c>
      <c r="C178" s="1060">
        <v>0.13</v>
      </c>
      <c r="D178" s="1060">
        <v>0.13</v>
      </c>
      <c r="E178" s="1060">
        <v>0.13</v>
      </c>
      <c r="F178" s="1061">
        <v>0.127</v>
      </c>
    </row>
    <row r="179" spans="1:6" ht="15" thickBot="1">
      <c r="A179" s="838" t="s">
        <v>526</v>
      </c>
      <c r="B179" s="832" t="s">
        <v>404</v>
      </c>
      <c r="C179" s="1060">
        <v>0.13</v>
      </c>
      <c r="D179" s="1060">
        <v>0.13</v>
      </c>
      <c r="E179" s="1060">
        <v>0.13</v>
      </c>
      <c r="F179" s="1072"/>
    </row>
    <row r="180" spans="1:6" ht="15" thickBot="1">
      <c r="A180" s="838" t="s">
        <v>526</v>
      </c>
      <c r="B180" s="832" t="s">
        <v>918</v>
      </c>
      <c r="C180" s="1060">
        <v>0.13</v>
      </c>
      <c r="D180" s="1060">
        <v>0.13</v>
      </c>
      <c r="E180" s="1060">
        <v>0.125</v>
      </c>
      <c r="F180" s="1061">
        <v>0.13</v>
      </c>
    </row>
    <row r="181" spans="1:6" ht="15" thickBot="1">
      <c r="A181" s="838" t="s">
        <v>526</v>
      </c>
      <c r="B181" s="832" t="s">
        <v>418</v>
      </c>
      <c r="C181" s="1060">
        <v>0.122</v>
      </c>
      <c r="D181" s="1060">
        <v>0.123</v>
      </c>
      <c r="E181" s="1060">
        <v>0.126</v>
      </c>
      <c r="F181" s="1061">
        <v>0.121</v>
      </c>
    </row>
    <row r="182" spans="1:6" ht="15" thickBot="1">
      <c r="A182" s="838" t="s">
        <v>526</v>
      </c>
      <c r="B182" s="832" t="s">
        <v>425</v>
      </c>
      <c r="C182" s="1060">
        <v>0.125</v>
      </c>
      <c r="D182" s="1060">
        <v>0.125</v>
      </c>
      <c r="E182" s="1060">
        <v>0.11700000000000001</v>
      </c>
      <c r="F182" s="1061">
        <v>0.13</v>
      </c>
    </row>
    <row r="183" spans="1:6" ht="15" thickBot="1">
      <c r="A183" s="838" t="s">
        <v>526</v>
      </c>
      <c r="B183" s="832" t="s">
        <v>432</v>
      </c>
      <c r="C183" s="1060">
        <v>0.127</v>
      </c>
      <c r="D183" s="1060">
        <v>0.127</v>
      </c>
      <c r="E183" s="1060">
        <v>0.128</v>
      </c>
      <c r="F183" s="1072"/>
    </row>
    <row r="184" spans="1:6" ht="15" thickBot="1">
      <c r="A184" s="838" t="s">
        <v>526</v>
      </c>
      <c r="B184" s="832" t="s">
        <v>439</v>
      </c>
      <c r="C184" s="1060">
        <v>0.125</v>
      </c>
      <c r="D184" s="1060">
        <v>0.125</v>
      </c>
      <c r="E184" s="1060">
        <v>0.127</v>
      </c>
      <c r="F184" s="1072"/>
    </row>
    <row r="185" spans="1:6" ht="15" thickBot="1">
      <c r="A185" s="838" t="s">
        <v>526</v>
      </c>
      <c r="B185" s="832" t="s">
        <v>919</v>
      </c>
      <c r="C185" s="1060">
        <v>0.127</v>
      </c>
      <c r="D185" s="1060">
        <v>0.127</v>
      </c>
      <c r="E185" s="1060">
        <v>0.128</v>
      </c>
      <c r="F185" s="1061">
        <v>0.13</v>
      </c>
    </row>
    <row r="186" spans="1:6" ht="24.6" thickBot="1">
      <c r="A186" s="838" t="s">
        <v>526</v>
      </c>
      <c r="B186" s="832" t="s">
        <v>920</v>
      </c>
      <c r="C186" s="1073"/>
      <c r="D186" s="1073"/>
      <c r="E186" s="1073"/>
      <c r="F186" s="1061">
        <v>0.05</v>
      </c>
    </row>
    <row r="187" spans="1:6" ht="15" thickBot="1">
      <c r="A187" s="838" t="s">
        <v>526</v>
      </c>
      <c r="B187" s="832" t="s">
        <v>921</v>
      </c>
      <c r="C187" s="1073"/>
      <c r="D187" s="1073"/>
      <c r="E187" s="1073"/>
      <c r="F187" s="1061">
        <v>0.05</v>
      </c>
    </row>
    <row r="188" spans="1:6" ht="24.6" thickBot="1">
      <c r="A188" s="838" t="s">
        <v>526</v>
      </c>
      <c r="B188" s="832" t="s">
        <v>922</v>
      </c>
      <c r="C188" s="1073"/>
      <c r="D188" s="1073"/>
      <c r="E188" s="1073"/>
      <c r="F188" s="1061">
        <v>0.05</v>
      </c>
    </row>
    <row r="189" spans="1:6" ht="24.6" thickBot="1">
      <c r="A189" s="838" t="s">
        <v>526</v>
      </c>
      <c r="B189" s="832" t="s">
        <v>923</v>
      </c>
      <c r="C189" s="1073"/>
      <c r="D189" s="1073"/>
      <c r="E189" s="1073"/>
      <c r="F189" s="1061">
        <v>0.05</v>
      </c>
    </row>
    <row r="190" spans="1:6" ht="24.6" thickBot="1">
      <c r="A190" s="838" t="s">
        <v>526</v>
      </c>
      <c r="B190" s="832" t="s">
        <v>924</v>
      </c>
      <c r="C190" s="1073"/>
      <c r="D190" s="1073"/>
      <c r="E190" s="1073"/>
      <c r="F190" s="1061">
        <v>0.05</v>
      </c>
    </row>
    <row r="191" spans="1:6" ht="24.6" thickBot="1">
      <c r="A191" s="838" t="s">
        <v>526</v>
      </c>
      <c r="B191" s="832" t="s">
        <v>925</v>
      </c>
      <c r="C191" s="1073"/>
      <c r="D191" s="1073"/>
      <c r="E191" s="1073"/>
      <c r="F191" s="1061">
        <v>0.05</v>
      </c>
    </row>
    <row r="192" spans="1:6" ht="24.6" thickBot="1">
      <c r="A192" s="838" t="s">
        <v>526</v>
      </c>
      <c r="B192" s="832" t="s">
        <v>926</v>
      </c>
      <c r="C192" s="1073"/>
      <c r="D192" s="1073"/>
      <c r="E192" s="1073"/>
      <c r="F192" s="1061">
        <v>0.05</v>
      </c>
    </row>
    <row r="193" spans="1:6" ht="24.6" thickBot="1">
      <c r="A193" s="838" t="s">
        <v>526</v>
      </c>
      <c r="B193" s="832" t="s">
        <v>927</v>
      </c>
      <c r="C193" s="1073"/>
      <c r="D193" s="1073"/>
      <c r="E193" s="1073"/>
      <c r="F193" s="1061">
        <v>0.05</v>
      </c>
    </row>
    <row r="194" spans="1:6" ht="24.6" thickBot="1">
      <c r="A194" s="838" t="s">
        <v>526</v>
      </c>
      <c r="B194" s="832" t="s">
        <v>928</v>
      </c>
      <c r="C194" s="1073"/>
      <c r="D194" s="1073"/>
      <c r="E194" s="1073"/>
      <c r="F194" s="1061">
        <v>0.05</v>
      </c>
    </row>
    <row r="195" spans="1:6" ht="15" thickBot="1">
      <c r="A195" s="838" t="s">
        <v>526</v>
      </c>
      <c r="B195" s="832" t="s">
        <v>929</v>
      </c>
      <c r="C195" s="1073"/>
      <c r="D195" s="1073"/>
      <c r="E195" s="1073"/>
      <c r="F195" s="1061">
        <v>0.05</v>
      </c>
    </row>
    <row r="196" spans="1:6" ht="24.6" thickBot="1">
      <c r="A196" s="838" t="s">
        <v>526</v>
      </c>
      <c r="B196" s="832" t="s">
        <v>930</v>
      </c>
      <c r="C196" s="1073"/>
      <c r="D196" s="1073"/>
      <c r="E196" s="1073"/>
      <c r="F196" s="1061">
        <v>0.05</v>
      </c>
    </row>
    <row r="197" spans="1:6" ht="24.6" thickBot="1">
      <c r="A197" s="838" t="s">
        <v>526</v>
      </c>
      <c r="B197" s="832" t="s">
        <v>931</v>
      </c>
      <c r="C197" s="1073"/>
      <c r="D197" s="1073"/>
      <c r="E197" s="1073"/>
      <c r="F197" s="1061">
        <v>0.05</v>
      </c>
    </row>
    <row r="198" spans="1:6" ht="24.6" thickBot="1">
      <c r="A198" s="838" t="s">
        <v>526</v>
      </c>
      <c r="B198" s="832" t="s">
        <v>932</v>
      </c>
      <c r="C198" s="1073"/>
      <c r="D198" s="1073"/>
      <c r="E198" s="1073"/>
      <c r="F198" s="1061">
        <v>0.05</v>
      </c>
    </row>
    <row r="199" spans="1:6" ht="24.6" thickBot="1">
      <c r="A199" s="838" t="s">
        <v>526</v>
      </c>
      <c r="B199" s="832" t="s">
        <v>933</v>
      </c>
      <c r="C199" s="1073"/>
      <c r="D199" s="1073"/>
      <c r="E199" s="1073"/>
      <c r="F199" s="1061">
        <v>0.05</v>
      </c>
    </row>
    <row r="200" spans="1:6" ht="24.6" thickBot="1">
      <c r="A200" s="838" t="s">
        <v>526</v>
      </c>
      <c r="B200" s="832" t="s">
        <v>934</v>
      </c>
      <c r="C200" s="1073"/>
      <c r="D200" s="1073"/>
      <c r="E200" s="1073"/>
      <c r="F200" s="1061">
        <v>0.05</v>
      </c>
    </row>
    <row r="201" spans="1:6" ht="24.6" thickBot="1">
      <c r="A201" s="838" t="s">
        <v>526</v>
      </c>
      <c r="B201" s="832" t="s">
        <v>935</v>
      </c>
      <c r="C201" s="1073"/>
      <c r="D201" s="1073"/>
      <c r="E201" s="1073"/>
      <c r="F201" s="1061">
        <v>0.05</v>
      </c>
    </row>
    <row r="202" spans="1:6" ht="24.6" thickBot="1">
      <c r="A202" s="838" t="s">
        <v>526</v>
      </c>
      <c r="B202" s="832" t="s">
        <v>936</v>
      </c>
      <c r="C202" s="1073"/>
      <c r="D202" s="1073"/>
      <c r="E202" s="1073"/>
      <c r="F202" s="1061">
        <v>0.05</v>
      </c>
    </row>
    <row r="203" spans="1:6" ht="24.6" thickBot="1">
      <c r="A203" s="838" t="s">
        <v>526</v>
      </c>
      <c r="B203" s="832" t="s">
        <v>937</v>
      </c>
      <c r="C203" s="1073"/>
      <c r="D203" s="1073"/>
      <c r="E203" s="1073"/>
      <c r="F203" s="1061">
        <v>0.05</v>
      </c>
    </row>
    <row r="204" spans="1:6" ht="15" thickBot="1">
      <c r="A204" s="838" t="s">
        <v>526</v>
      </c>
      <c r="B204" s="832" t="s">
        <v>938</v>
      </c>
      <c r="C204" s="1073"/>
      <c r="D204" s="1073"/>
      <c r="E204" s="1073"/>
      <c r="F204" s="1061">
        <v>0.05</v>
      </c>
    </row>
    <row r="205" spans="1:6" ht="15" thickBot="1">
      <c r="A205" s="848" t="s">
        <v>526</v>
      </c>
      <c r="B205" s="844" t="s">
        <v>939</v>
      </c>
      <c r="C205" s="1070"/>
      <c r="D205" s="1070"/>
      <c r="E205" s="1070"/>
      <c r="F205" s="1063">
        <v>0.05</v>
      </c>
    </row>
    <row r="206" spans="1:6" ht="15" thickBot="1">
      <c r="A206" s="838" t="s">
        <v>528</v>
      </c>
      <c r="B206" s="839" t="s">
        <v>940</v>
      </c>
      <c r="C206" s="1058">
        <v>0.15</v>
      </c>
      <c r="D206" s="1058">
        <v>0.15</v>
      </c>
      <c r="E206" s="1058">
        <v>0.15</v>
      </c>
      <c r="F206" s="1059">
        <v>0.15</v>
      </c>
    </row>
    <row r="207" spans="1:6" ht="15" thickBot="1">
      <c r="A207" s="838" t="s">
        <v>528</v>
      </c>
      <c r="B207" s="832" t="s">
        <v>194</v>
      </c>
      <c r="C207" s="1060">
        <v>0.15</v>
      </c>
      <c r="D207" s="1060">
        <v>0.15</v>
      </c>
      <c r="E207" s="1060">
        <v>0.15</v>
      </c>
      <c r="F207" s="1061">
        <v>0.14399999999999999</v>
      </c>
    </row>
    <row r="208" spans="1:6" ht="15" thickBot="1">
      <c r="A208" s="838" t="s">
        <v>528</v>
      </c>
      <c r="B208" s="832" t="s">
        <v>207</v>
      </c>
      <c r="C208" s="1060">
        <v>0.15</v>
      </c>
      <c r="D208" s="1060">
        <v>0.15</v>
      </c>
      <c r="E208" s="1060">
        <v>0.15</v>
      </c>
      <c r="F208" s="1061">
        <v>0.15</v>
      </c>
    </row>
    <row r="209" spans="1:6" ht="15" thickBot="1">
      <c r="A209" s="838" t="s">
        <v>528</v>
      </c>
      <c r="B209" s="832" t="s">
        <v>220</v>
      </c>
      <c r="C209" s="1060">
        <v>0.13700000000000001</v>
      </c>
      <c r="D209" s="1060">
        <v>0.13700000000000001</v>
      </c>
      <c r="E209" s="1060">
        <v>0.14000000000000001</v>
      </c>
      <c r="F209" s="1061">
        <v>0.11700000000000001</v>
      </c>
    </row>
    <row r="210" spans="1:6" ht="15" thickBot="1">
      <c r="A210" s="838" t="s">
        <v>528</v>
      </c>
      <c r="B210" s="832" t="s">
        <v>941</v>
      </c>
      <c r="C210" s="1060">
        <v>0.15</v>
      </c>
      <c r="D210" s="1060">
        <v>0.15</v>
      </c>
      <c r="E210" s="1060">
        <v>0.15</v>
      </c>
      <c r="F210" s="1061">
        <v>0.13800000000000001</v>
      </c>
    </row>
    <row r="211" spans="1:6" ht="15" thickBot="1">
      <c r="A211" s="838" t="s">
        <v>528</v>
      </c>
      <c r="B211" s="832" t="s">
        <v>942</v>
      </c>
      <c r="C211" s="1060">
        <v>0.13700000000000001</v>
      </c>
      <c r="D211" s="1060">
        <v>0.13500000000000001</v>
      </c>
      <c r="E211" s="1060">
        <v>0.13600000000000001</v>
      </c>
      <c r="F211" s="1061">
        <v>0.1</v>
      </c>
    </row>
    <row r="212" spans="1:6" ht="15" thickBot="1">
      <c r="A212" s="838" t="s">
        <v>528</v>
      </c>
      <c r="B212" s="832" t="s">
        <v>943</v>
      </c>
      <c r="C212" s="1060">
        <v>0.15</v>
      </c>
      <c r="D212" s="1060">
        <v>0.15</v>
      </c>
      <c r="E212" s="1060">
        <v>0.14799999999999999</v>
      </c>
      <c r="F212" s="1061">
        <v>0.13600000000000001</v>
      </c>
    </row>
    <row r="213" spans="1:6" ht="15" thickBot="1">
      <c r="A213" s="838" t="s">
        <v>528</v>
      </c>
      <c r="B213" s="832" t="s">
        <v>265</v>
      </c>
      <c r="C213" s="1060">
        <v>0.15</v>
      </c>
      <c r="D213" s="1060">
        <v>0.15</v>
      </c>
      <c r="E213" s="1060">
        <v>0.15</v>
      </c>
      <c r="F213" s="1061">
        <v>0.13800000000000001</v>
      </c>
    </row>
    <row r="214" spans="1:6" ht="15" thickBot="1">
      <c r="A214" s="838" t="s">
        <v>528</v>
      </c>
      <c r="B214" s="832" t="s">
        <v>277</v>
      </c>
      <c r="C214" s="1060">
        <v>9.0999999999999998E-2</v>
      </c>
      <c r="D214" s="1060">
        <v>0.09</v>
      </c>
      <c r="E214" s="1060">
        <v>9.1999999999999998E-2</v>
      </c>
      <c r="F214" s="1072"/>
    </row>
    <row r="215" spans="1:6" ht="15" thickBot="1">
      <c r="A215" s="838" t="s">
        <v>528</v>
      </c>
      <c r="B215" s="832" t="s">
        <v>944</v>
      </c>
      <c r="C215" s="1060">
        <v>0.15</v>
      </c>
      <c r="D215" s="1060">
        <v>0.15</v>
      </c>
      <c r="E215" s="1060">
        <v>0.15</v>
      </c>
      <c r="F215" s="1061">
        <v>0.15</v>
      </c>
    </row>
    <row r="216" spans="1:6" ht="15" thickBot="1">
      <c r="A216" s="838" t="s">
        <v>528</v>
      </c>
      <c r="B216" s="832" t="s">
        <v>297</v>
      </c>
      <c r="C216" s="1060">
        <v>0.14699999999999999</v>
      </c>
      <c r="D216" s="1060">
        <v>0.14699999999999999</v>
      </c>
      <c r="E216" s="1060">
        <v>0.15</v>
      </c>
      <c r="F216" s="1061">
        <v>0.14000000000000001</v>
      </c>
    </row>
    <row r="217" spans="1:6" ht="15" thickBot="1">
      <c r="A217" s="838" t="s">
        <v>528</v>
      </c>
      <c r="B217" s="832" t="s">
        <v>307</v>
      </c>
      <c r="C217" s="1060">
        <v>0.15</v>
      </c>
      <c r="D217" s="1060">
        <v>0.15</v>
      </c>
      <c r="E217" s="1060">
        <v>0.15</v>
      </c>
      <c r="F217" s="1061">
        <v>0.15</v>
      </c>
    </row>
    <row r="218" spans="1:6" ht="15" thickBot="1">
      <c r="A218" s="838" t="s">
        <v>528</v>
      </c>
      <c r="B218" s="832" t="s">
        <v>945</v>
      </c>
      <c r="C218" s="1060">
        <v>0.15</v>
      </c>
      <c r="D218" s="1060">
        <v>0.15</v>
      </c>
      <c r="E218" s="1060">
        <v>0.15</v>
      </c>
      <c r="F218" s="1061">
        <v>0.15</v>
      </c>
    </row>
    <row r="219" spans="1:6" ht="15" thickBot="1">
      <c r="A219" s="838" t="s">
        <v>528</v>
      </c>
      <c r="B219" s="832" t="s">
        <v>328</v>
      </c>
      <c r="C219" s="1060">
        <v>0.15</v>
      </c>
      <c r="D219" s="1060">
        <v>0.15</v>
      </c>
      <c r="E219" s="1060">
        <v>0.15</v>
      </c>
      <c r="F219" s="1061">
        <v>0.14799999999999999</v>
      </c>
    </row>
    <row r="220" spans="1:6" ht="15" thickBot="1">
      <c r="A220" s="838" t="s">
        <v>528</v>
      </c>
      <c r="B220" s="832" t="s">
        <v>946</v>
      </c>
      <c r="C220" s="1060">
        <v>0.15</v>
      </c>
      <c r="D220" s="1060">
        <v>0.15</v>
      </c>
      <c r="E220" s="1060">
        <v>0.15</v>
      </c>
      <c r="F220" s="1061">
        <v>0.15</v>
      </c>
    </row>
    <row r="221" spans="1:6" ht="15" thickBot="1">
      <c r="A221" s="838" t="s">
        <v>528</v>
      </c>
      <c r="B221" s="832" t="s">
        <v>349</v>
      </c>
      <c r="C221" s="1060"/>
      <c r="D221" s="1073"/>
      <c r="E221" s="1073"/>
      <c r="F221" s="1061">
        <v>0.14799999999999999</v>
      </c>
    </row>
    <row r="222" spans="1:6" ht="15" thickBot="1">
      <c r="A222" s="838" t="s">
        <v>528</v>
      </c>
      <c r="B222" s="832" t="s">
        <v>359</v>
      </c>
      <c r="C222" s="1060"/>
      <c r="D222" s="1073"/>
      <c r="E222" s="1073"/>
      <c r="F222" s="1061">
        <v>0.1</v>
      </c>
    </row>
    <row r="223" spans="1:6" ht="15" thickBot="1">
      <c r="A223" s="838" t="s">
        <v>528</v>
      </c>
      <c r="B223" s="832" t="s">
        <v>369</v>
      </c>
      <c r="C223" s="1060"/>
      <c r="D223" s="1073"/>
      <c r="E223" s="1073"/>
      <c r="F223" s="1061">
        <v>0.15</v>
      </c>
    </row>
    <row r="224" spans="1:6" ht="15" thickBot="1">
      <c r="A224" s="838" t="s">
        <v>528</v>
      </c>
      <c r="B224" s="832" t="s">
        <v>379</v>
      </c>
      <c r="C224" s="1060"/>
      <c r="D224" s="1073"/>
      <c r="E224" s="1073"/>
      <c r="F224" s="1061">
        <v>0.15</v>
      </c>
    </row>
    <row r="225" spans="1:6" ht="15" thickBot="1">
      <c r="A225" s="838" t="s">
        <v>528</v>
      </c>
      <c r="B225" s="832" t="s">
        <v>947</v>
      </c>
      <c r="C225" s="1060">
        <v>0.15</v>
      </c>
      <c r="D225" s="1060">
        <v>0.15</v>
      </c>
      <c r="E225" s="1060">
        <v>0.15</v>
      </c>
      <c r="F225" s="1061">
        <v>0.15</v>
      </c>
    </row>
    <row r="226" spans="1:6" ht="15" thickBot="1">
      <c r="A226" s="838" t="s">
        <v>528</v>
      </c>
      <c r="B226" s="832" t="s">
        <v>397</v>
      </c>
      <c r="C226" s="1060">
        <v>0.15</v>
      </c>
      <c r="D226" s="1060">
        <v>0.15</v>
      </c>
      <c r="E226" s="1060">
        <v>0.15</v>
      </c>
      <c r="F226" s="1061">
        <v>0.14799999999999999</v>
      </c>
    </row>
    <row r="227" spans="1:6" ht="15" thickBot="1">
      <c r="A227" s="838" t="s">
        <v>528</v>
      </c>
      <c r="B227" s="832" t="s">
        <v>948</v>
      </c>
      <c r="C227" s="1060">
        <v>0.15</v>
      </c>
      <c r="D227" s="1060">
        <v>0.15</v>
      </c>
      <c r="E227" s="1060">
        <v>0.15</v>
      </c>
      <c r="F227" s="1061">
        <v>0.15</v>
      </c>
    </row>
    <row r="228" spans="1:6" ht="15" thickBot="1">
      <c r="A228" s="838" t="s">
        <v>528</v>
      </c>
      <c r="B228" s="832" t="s">
        <v>412</v>
      </c>
      <c r="C228" s="1060">
        <v>0.15</v>
      </c>
      <c r="D228" s="1060">
        <v>0.15</v>
      </c>
      <c r="E228" s="1060">
        <v>0.15</v>
      </c>
      <c r="F228" s="1061">
        <v>0.15</v>
      </c>
    </row>
    <row r="229" spans="1:6" ht="15" thickBot="1">
      <c r="A229" s="838" t="s">
        <v>528</v>
      </c>
      <c r="B229" s="832" t="s">
        <v>419</v>
      </c>
      <c r="C229" s="1060">
        <v>0.15</v>
      </c>
      <c r="D229" s="1060">
        <v>0.15</v>
      </c>
      <c r="E229" s="1060">
        <v>0.15</v>
      </c>
      <c r="F229" s="1072"/>
    </row>
    <row r="230" spans="1:6" ht="15" thickBot="1">
      <c r="A230" s="838" t="s">
        <v>528</v>
      </c>
      <c r="B230" s="832" t="s">
        <v>426</v>
      </c>
      <c r="C230" s="1060">
        <v>0.14499999999999999</v>
      </c>
      <c r="D230" s="1060">
        <v>0.14499999999999999</v>
      </c>
      <c r="E230" s="1060">
        <v>0.14399999999999999</v>
      </c>
      <c r="F230" s="1072"/>
    </row>
    <row r="231" spans="1:6" ht="15" thickBot="1">
      <c r="A231" s="838" t="s">
        <v>528</v>
      </c>
      <c r="B231" s="832" t="s">
        <v>949</v>
      </c>
      <c r="C231" s="1060">
        <v>0.128</v>
      </c>
      <c r="D231" s="1060">
        <v>0.125</v>
      </c>
      <c r="E231" s="1060">
        <v>0.13200000000000001</v>
      </c>
      <c r="F231" s="1072"/>
    </row>
    <row r="232" spans="1:6" ht="15" thickBot="1">
      <c r="A232" s="838" t="s">
        <v>528</v>
      </c>
      <c r="B232" s="832" t="s">
        <v>950</v>
      </c>
      <c r="C232" s="1060">
        <v>0.14499999999999999</v>
      </c>
      <c r="D232" s="1060">
        <v>0.14399999999999999</v>
      </c>
      <c r="E232" s="1060">
        <v>0.14599999999999999</v>
      </c>
      <c r="F232" s="1061">
        <v>0.13800000000000001</v>
      </c>
    </row>
    <row r="233" spans="1:6" ht="15" thickBot="1">
      <c r="A233" s="838" t="s">
        <v>528</v>
      </c>
      <c r="B233" s="832" t="s">
        <v>951</v>
      </c>
      <c r="C233" s="1060">
        <v>0.14499999999999999</v>
      </c>
      <c r="D233" s="1060">
        <v>0.14299999999999999</v>
      </c>
      <c r="E233" s="1060">
        <v>0.14199999999999999</v>
      </c>
      <c r="F233" s="1072"/>
    </row>
    <row r="234" spans="1:6" ht="15" thickBot="1">
      <c r="A234" s="838" t="s">
        <v>528</v>
      </c>
      <c r="B234" s="832" t="s">
        <v>952</v>
      </c>
      <c r="C234" s="1060">
        <v>0.14000000000000001</v>
      </c>
      <c r="D234" s="1060">
        <v>0.14000000000000001</v>
      </c>
      <c r="E234" s="1060">
        <v>0.14399999999999999</v>
      </c>
      <c r="F234" s="1072"/>
    </row>
    <row r="235" spans="1:6" ht="15" thickBot="1">
      <c r="A235" s="838" t="s">
        <v>528</v>
      </c>
      <c r="B235" s="832" t="s">
        <v>953</v>
      </c>
      <c r="C235" s="1060">
        <v>0.14099999999999999</v>
      </c>
      <c r="D235" s="1060">
        <v>0.14199999999999999</v>
      </c>
      <c r="E235" s="1060">
        <v>0.14499999999999999</v>
      </c>
      <c r="F235" s="1061">
        <v>0.15</v>
      </c>
    </row>
    <row r="236" spans="1:6" ht="15" thickBot="1">
      <c r="A236" s="838" t="s">
        <v>528</v>
      </c>
      <c r="B236" s="832" t="s">
        <v>461</v>
      </c>
      <c r="C236" s="1073"/>
      <c r="D236" s="1073"/>
      <c r="E236" s="1073"/>
      <c r="F236" s="1061">
        <v>0.14299999999999999</v>
      </c>
    </row>
    <row r="237" spans="1:6" ht="24.6" thickBot="1">
      <c r="A237" s="838" t="s">
        <v>528</v>
      </c>
      <c r="B237" s="832" t="s">
        <v>954</v>
      </c>
      <c r="C237" s="1073"/>
      <c r="D237" s="1073"/>
      <c r="E237" s="1073"/>
      <c r="F237" s="1061">
        <v>0.05</v>
      </c>
    </row>
    <row r="238" spans="1:6" ht="24.6" thickBot="1">
      <c r="A238" s="838" t="s">
        <v>528</v>
      </c>
      <c r="B238" s="832" t="s">
        <v>955</v>
      </c>
      <c r="C238" s="1073"/>
      <c r="D238" s="1073"/>
      <c r="E238" s="1073"/>
      <c r="F238" s="1061">
        <v>0.05</v>
      </c>
    </row>
    <row r="239" spans="1:6" ht="24.6" thickBot="1">
      <c r="A239" s="838" t="s">
        <v>528</v>
      </c>
      <c r="B239" s="832" t="s">
        <v>956</v>
      </c>
      <c r="C239" s="1073"/>
      <c r="D239" s="1073"/>
      <c r="E239" s="1073"/>
      <c r="F239" s="1061">
        <v>0.05</v>
      </c>
    </row>
    <row r="240" spans="1:6" ht="24.6" thickBot="1">
      <c r="A240" s="838" t="s">
        <v>528</v>
      </c>
      <c r="B240" s="832" t="s">
        <v>957</v>
      </c>
      <c r="C240" s="1073"/>
      <c r="D240" s="1073"/>
      <c r="E240" s="1073"/>
      <c r="F240" s="1061">
        <v>0.05</v>
      </c>
    </row>
    <row r="241" spans="1:6" ht="24.6" thickBot="1">
      <c r="A241" s="838" t="s">
        <v>528</v>
      </c>
      <c r="B241" s="832" t="s">
        <v>958</v>
      </c>
      <c r="C241" s="1073"/>
      <c r="D241" s="1073"/>
      <c r="E241" s="1073"/>
      <c r="F241" s="1061">
        <v>0.05</v>
      </c>
    </row>
    <row r="242" spans="1:6" ht="24.6" thickBot="1">
      <c r="A242" s="838" t="s">
        <v>528</v>
      </c>
      <c r="B242" s="832" t="s">
        <v>959</v>
      </c>
      <c r="C242" s="1073"/>
      <c r="D242" s="1073"/>
      <c r="E242" s="1073"/>
      <c r="F242" s="1061">
        <v>0.05</v>
      </c>
    </row>
    <row r="243" spans="1:6" ht="24.6" thickBot="1">
      <c r="A243" s="838" t="s">
        <v>528</v>
      </c>
      <c r="B243" s="832" t="s">
        <v>960</v>
      </c>
      <c r="C243" s="1073"/>
      <c r="D243" s="1073"/>
      <c r="E243" s="1073"/>
      <c r="F243" s="1061">
        <v>0.05</v>
      </c>
    </row>
    <row r="244" spans="1:6" ht="24.6" thickBot="1">
      <c r="A244" s="848" t="s">
        <v>528</v>
      </c>
      <c r="B244" s="844" t="s">
        <v>961</v>
      </c>
      <c r="C244" s="1070"/>
      <c r="D244" s="1070"/>
      <c r="E244" s="1070"/>
      <c r="F244" s="1063">
        <v>0.05</v>
      </c>
    </row>
    <row r="245" spans="1:6" ht="15" thickBot="1">
      <c r="A245" s="838" t="s">
        <v>530</v>
      </c>
      <c r="B245" s="839" t="s">
        <v>962</v>
      </c>
      <c r="C245" s="1058">
        <v>0.15</v>
      </c>
      <c r="D245" s="1058">
        <v>0.15</v>
      </c>
      <c r="E245" s="1058">
        <v>0.15</v>
      </c>
      <c r="F245" s="1059">
        <v>0.14299999999999999</v>
      </c>
    </row>
    <row r="246" spans="1:6" ht="15" thickBot="1">
      <c r="A246" s="838" t="s">
        <v>530</v>
      </c>
      <c r="B246" s="832" t="s">
        <v>195</v>
      </c>
      <c r="C246" s="1060">
        <v>0.15</v>
      </c>
      <c r="D246" s="1060">
        <v>0.15</v>
      </c>
      <c r="E246" s="1060">
        <v>0.15</v>
      </c>
      <c r="F246" s="1061">
        <v>0.114</v>
      </c>
    </row>
    <row r="247" spans="1:6" ht="15" thickBot="1">
      <c r="A247" s="838" t="s">
        <v>530</v>
      </c>
      <c r="B247" s="832" t="s">
        <v>963</v>
      </c>
      <c r="C247" s="1060">
        <v>0.15</v>
      </c>
      <c r="D247" s="1060">
        <v>0.15</v>
      </c>
      <c r="E247" s="1060">
        <v>0.15</v>
      </c>
      <c r="F247" s="1061">
        <v>0.15</v>
      </c>
    </row>
    <row r="248" spans="1:6" ht="15" thickBot="1">
      <c r="A248" s="838" t="s">
        <v>530</v>
      </c>
      <c r="B248" s="832" t="s">
        <v>964</v>
      </c>
      <c r="C248" s="1060">
        <v>0.15</v>
      </c>
      <c r="D248" s="1060">
        <v>0.15</v>
      </c>
      <c r="E248" s="1060">
        <v>0.15</v>
      </c>
      <c r="F248" s="1061">
        <v>0.14000000000000001</v>
      </c>
    </row>
    <row r="249" spans="1:6" ht="15" thickBot="1">
      <c r="A249" s="838" t="s">
        <v>530</v>
      </c>
      <c r="B249" s="832" t="s">
        <v>965</v>
      </c>
      <c r="C249" s="1060">
        <v>0.15</v>
      </c>
      <c r="D249" s="1060">
        <v>0.14899999999999999</v>
      </c>
      <c r="E249" s="1060">
        <v>0.15</v>
      </c>
      <c r="F249" s="1061">
        <v>0.1</v>
      </c>
    </row>
    <row r="250" spans="1:6" ht="15" thickBot="1">
      <c r="A250" s="838" t="s">
        <v>530</v>
      </c>
      <c r="B250" s="832" t="s">
        <v>966</v>
      </c>
      <c r="C250" s="1060">
        <v>0.15</v>
      </c>
      <c r="D250" s="1060">
        <v>0.15</v>
      </c>
      <c r="E250" s="1060">
        <v>0.15</v>
      </c>
      <c r="F250" s="1061">
        <v>0.14399999999999999</v>
      </c>
    </row>
    <row r="251" spans="1:6" ht="15" thickBot="1">
      <c r="A251" s="838" t="s">
        <v>530</v>
      </c>
      <c r="B251" s="832" t="s">
        <v>255</v>
      </c>
      <c r="C251" s="1060">
        <v>0.15</v>
      </c>
      <c r="D251" s="1060">
        <v>0.15</v>
      </c>
      <c r="E251" s="1060">
        <v>0.15</v>
      </c>
      <c r="F251" s="1061">
        <v>0.14299999999999999</v>
      </c>
    </row>
    <row r="252" spans="1:6" ht="15" thickBot="1">
      <c r="A252" s="838" t="s">
        <v>530</v>
      </c>
      <c r="B252" s="832" t="s">
        <v>266</v>
      </c>
      <c r="C252" s="1060">
        <v>0.15</v>
      </c>
      <c r="D252" s="1060">
        <v>0.15</v>
      </c>
      <c r="E252" s="1060">
        <v>0.15</v>
      </c>
      <c r="F252" s="1061">
        <v>0.1</v>
      </c>
    </row>
    <row r="253" spans="1:6" ht="15" thickBot="1">
      <c r="A253" s="838" t="s">
        <v>530</v>
      </c>
      <c r="B253" s="832" t="s">
        <v>278</v>
      </c>
      <c r="C253" s="1060">
        <v>0.15</v>
      </c>
      <c r="D253" s="1060">
        <v>0.15</v>
      </c>
      <c r="E253" s="1060">
        <v>0.15</v>
      </c>
      <c r="F253" s="1061">
        <v>0.1</v>
      </c>
    </row>
    <row r="254" spans="1:6" ht="15" thickBot="1">
      <c r="A254" s="838" t="s">
        <v>530</v>
      </c>
      <c r="B254" s="832" t="s">
        <v>288</v>
      </c>
      <c r="C254" s="1073"/>
      <c r="D254" s="1073"/>
      <c r="E254" s="1073"/>
      <c r="F254" s="1061">
        <v>0.15</v>
      </c>
    </row>
    <row r="255" spans="1:6" ht="15" thickBot="1">
      <c r="A255" s="838" t="s">
        <v>530</v>
      </c>
      <c r="B255" s="832" t="s">
        <v>298</v>
      </c>
      <c r="C255" s="1073"/>
      <c r="D255" s="1073"/>
      <c r="E255" s="1073"/>
      <c r="F255" s="1061">
        <v>0.14299999999999999</v>
      </c>
    </row>
    <row r="256" spans="1:6" ht="15" thickBot="1">
      <c r="A256" s="838" t="s">
        <v>530</v>
      </c>
      <c r="B256" s="832" t="s">
        <v>967</v>
      </c>
      <c r="C256" s="1060">
        <v>0.14599999999999999</v>
      </c>
      <c r="D256" s="1060">
        <v>0.14699999999999999</v>
      </c>
      <c r="E256" s="1060">
        <v>0.15</v>
      </c>
      <c r="F256" s="1061">
        <v>0.13200000000000001</v>
      </c>
    </row>
    <row r="257" spans="1:6" ht="15" thickBot="1">
      <c r="A257" s="838" t="s">
        <v>530</v>
      </c>
      <c r="B257" s="832" t="s">
        <v>318</v>
      </c>
      <c r="C257" s="1060">
        <v>0.15</v>
      </c>
      <c r="D257" s="1060">
        <v>0.15</v>
      </c>
      <c r="E257" s="1060">
        <v>0.15</v>
      </c>
      <c r="F257" s="1061">
        <v>0.13900000000000001</v>
      </c>
    </row>
    <row r="258" spans="1:6" ht="15" thickBot="1">
      <c r="A258" s="838" t="s">
        <v>530</v>
      </c>
      <c r="B258" s="832" t="s">
        <v>329</v>
      </c>
      <c r="C258" s="1060">
        <v>0.15</v>
      </c>
      <c r="D258" s="1060">
        <v>0.15</v>
      </c>
      <c r="E258" s="1060">
        <v>0.15</v>
      </c>
      <c r="F258" s="1061">
        <v>0.13</v>
      </c>
    </row>
    <row r="259" spans="1:6" ht="15" thickBot="1">
      <c r="A259" s="838" t="s">
        <v>530</v>
      </c>
      <c r="B259" s="832" t="s">
        <v>968</v>
      </c>
      <c r="C259" s="1060">
        <v>0.14799999999999999</v>
      </c>
      <c r="D259" s="1060">
        <v>0.14899999999999999</v>
      </c>
      <c r="E259" s="1060">
        <v>0.15</v>
      </c>
      <c r="F259" s="1061">
        <v>0.13700000000000001</v>
      </c>
    </row>
    <row r="260" spans="1:6" ht="15" thickBot="1">
      <c r="A260" s="838" t="s">
        <v>530</v>
      </c>
      <c r="B260" s="832" t="s">
        <v>350</v>
      </c>
      <c r="C260" s="1060">
        <v>0.15</v>
      </c>
      <c r="D260" s="1060">
        <v>0.15</v>
      </c>
      <c r="E260" s="1060">
        <v>0.15</v>
      </c>
      <c r="F260" s="1061">
        <v>0.14199999999999999</v>
      </c>
    </row>
    <row r="261" spans="1:6" ht="15" thickBot="1">
      <c r="A261" s="838" t="s">
        <v>530</v>
      </c>
      <c r="B261" s="832" t="s">
        <v>360</v>
      </c>
      <c r="C261" s="1060">
        <v>0.15</v>
      </c>
      <c r="D261" s="1060">
        <v>0.15</v>
      </c>
      <c r="E261" s="1060">
        <v>0.14899999999999999</v>
      </c>
      <c r="F261" s="1061">
        <v>0.14799999999999999</v>
      </c>
    </row>
    <row r="262" spans="1:6" ht="15" thickBot="1">
      <c r="A262" s="838" t="s">
        <v>530</v>
      </c>
      <c r="B262" s="832" t="s">
        <v>370</v>
      </c>
      <c r="C262" s="1060">
        <v>0.15</v>
      </c>
      <c r="D262" s="1060">
        <v>0.15</v>
      </c>
      <c r="E262" s="1060">
        <v>0.15</v>
      </c>
      <c r="F262" s="1072"/>
    </row>
    <row r="263" spans="1:6" ht="15" thickBot="1">
      <c r="A263" s="838" t="s">
        <v>530</v>
      </c>
      <c r="B263" s="832" t="s">
        <v>969</v>
      </c>
      <c r="C263" s="1060">
        <v>0.14899999999999999</v>
      </c>
      <c r="D263" s="1060">
        <v>0.14899999999999999</v>
      </c>
      <c r="E263" s="1060">
        <v>0.15</v>
      </c>
      <c r="F263" s="1061">
        <v>0.13</v>
      </c>
    </row>
    <row r="264" spans="1:6" ht="15" thickBot="1">
      <c r="A264" s="838" t="s">
        <v>530</v>
      </c>
      <c r="B264" s="832" t="s">
        <v>389</v>
      </c>
      <c r="C264" s="1060">
        <v>0.14799999999999999</v>
      </c>
      <c r="D264" s="1060">
        <v>0.14699999999999999</v>
      </c>
      <c r="E264" s="1060">
        <v>0.15</v>
      </c>
      <c r="F264" s="1061">
        <v>7.8E-2</v>
      </c>
    </row>
    <row r="265" spans="1:6" ht="15" thickBot="1">
      <c r="A265" s="838" t="s">
        <v>530</v>
      </c>
      <c r="B265" s="832" t="s">
        <v>398</v>
      </c>
      <c r="C265" s="1060">
        <v>0.15</v>
      </c>
      <c r="D265" s="1060">
        <v>0.15</v>
      </c>
      <c r="E265" s="1060">
        <v>0.15</v>
      </c>
      <c r="F265" s="1061">
        <v>7.3999999999999996E-2</v>
      </c>
    </row>
    <row r="266" spans="1:6" ht="15" thickBot="1">
      <c r="A266" s="838" t="s">
        <v>530</v>
      </c>
      <c r="B266" s="832" t="s">
        <v>406</v>
      </c>
      <c r="C266" s="1060">
        <v>0.14699999999999999</v>
      </c>
      <c r="D266" s="1060">
        <v>0.14699999999999999</v>
      </c>
      <c r="E266" s="1060">
        <v>0.15</v>
      </c>
      <c r="F266" s="1061">
        <v>0.14299999999999999</v>
      </c>
    </row>
    <row r="267" spans="1:6" ht="15" thickBot="1">
      <c r="A267" s="838" t="s">
        <v>530</v>
      </c>
      <c r="B267" s="832" t="s">
        <v>413</v>
      </c>
      <c r="C267" s="1060">
        <v>0.14199999999999999</v>
      </c>
      <c r="D267" s="1060">
        <v>0.14299999999999999</v>
      </c>
      <c r="E267" s="1060">
        <v>0.15</v>
      </c>
      <c r="F267" s="1072"/>
    </row>
    <row r="268" spans="1:6" ht="15" thickBot="1">
      <c r="A268" s="838" t="s">
        <v>530</v>
      </c>
      <c r="B268" s="832" t="s">
        <v>970</v>
      </c>
      <c r="C268" s="1060">
        <v>0.15</v>
      </c>
      <c r="D268" s="1060">
        <v>0.15</v>
      </c>
      <c r="E268" s="1060">
        <v>0.15</v>
      </c>
      <c r="F268" s="1061">
        <v>0.13</v>
      </c>
    </row>
    <row r="269" spans="1:6" ht="15" thickBot="1">
      <c r="A269" s="838" t="s">
        <v>530</v>
      </c>
      <c r="B269" s="832" t="s">
        <v>427</v>
      </c>
      <c r="C269" s="1060">
        <v>0.15</v>
      </c>
      <c r="D269" s="1060">
        <v>0.15</v>
      </c>
      <c r="E269" s="1060">
        <v>0.15</v>
      </c>
      <c r="F269" s="1061">
        <v>0.14299999999999999</v>
      </c>
    </row>
    <row r="270" spans="1:6" ht="15" thickBot="1">
      <c r="A270" s="838" t="s">
        <v>530</v>
      </c>
      <c r="B270" s="832" t="s">
        <v>434</v>
      </c>
      <c r="C270" s="1060">
        <v>0.14499999999999999</v>
      </c>
      <c r="D270" s="1060">
        <v>0.14499999999999999</v>
      </c>
      <c r="E270" s="1060">
        <v>0.15</v>
      </c>
      <c r="F270" s="1061">
        <v>0.14699999999999999</v>
      </c>
    </row>
    <row r="271" spans="1:6" ht="15" thickBot="1">
      <c r="A271" s="838" t="s">
        <v>530</v>
      </c>
      <c r="B271" s="832" t="s">
        <v>441</v>
      </c>
      <c r="C271" s="1060">
        <v>0.15</v>
      </c>
      <c r="D271" s="1060">
        <v>0.15</v>
      </c>
      <c r="E271" s="1060">
        <v>0.15</v>
      </c>
      <c r="F271" s="1061">
        <v>0.13800000000000001</v>
      </c>
    </row>
    <row r="272" spans="1:6" ht="15" thickBot="1">
      <c r="A272" s="838" t="s">
        <v>530</v>
      </c>
      <c r="B272" s="832" t="s">
        <v>448</v>
      </c>
      <c r="C272" s="1073"/>
      <c r="D272" s="1073"/>
      <c r="E272" s="1073"/>
      <c r="F272" s="1061">
        <v>0.14000000000000001</v>
      </c>
    </row>
    <row r="273" spans="1:6" ht="15" thickBot="1">
      <c r="A273" s="838" t="s">
        <v>530</v>
      </c>
      <c r="B273" s="832" t="s">
        <v>971</v>
      </c>
      <c r="C273" s="1060">
        <v>0.14199999999999999</v>
      </c>
      <c r="D273" s="1060">
        <v>0.14299999999999999</v>
      </c>
      <c r="E273" s="1060">
        <v>0.15</v>
      </c>
      <c r="F273" s="1061">
        <v>0.1</v>
      </c>
    </row>
    <row r="274" spans="1:6" ht="15" thickBot="1">
      <c r="A274" s="838" t="s">
        <v>530</v>
      </c>
      <c r="B274" s="832" t="s">
        <v>972</v>
      </c>
      <c r="C274" s="1060">
        <v>0.14799999999999999</v>
      </c>
      <c r="D274" s="1060">
        <v>0.14799999999999999</v>
      </c>
      <c r="E274" s="1060">
        <v>0.15</v>
      </c>
      <c r="F274" s="1061">
        <v>6.7000000000000004E-2</v>
      </c>
    </row>
    <row r="275" spans="1:6" ht="15" thickBot="1">
      <c r="A275" s="838" t="s">
        <v>530</v>
      </c>
      <c r="B275" s="832" t="s">
        <v>973</v>
      </c>
      <c r="C275" s="1060">
        <v>0.15</v>
      </c>
      <c r="D275" s="1060">
        <v>0.15</v>
      </c>
      <c r="E275" s="1060">
        <v>0.15</v>
      </c>
      <c r="F275" s="1061">
        <v>0.15</v>
      </c>
    </row>
    <row r="276" spans="1:6" ht="15" thickBot="1">
      <c r="A276" s="838" t="s">
        <v>530</v>
      </c>
      <c r="B276" s="832" t="s">
        <v>974</v>
      </c>
      <c r="C276" s="1060">
        <v>0.14499999999999999</v>
      </c>
      <c r="D276" s="1060">
        <v>0.14299999999999999</v>
      </c>
      <c r="E276" s="1060">
        <v>0.15</v>
      </c>
      <c r="F276" s="1061">
        <v>5.8999999999999997E-2</v>
      </c>
    </row>
    <row r="277" spans="1:6" ht="15" thickBot="1">
      <c r="A277" s="838" t="s">
        <v>530</v>
      </c>
      <c r="B277" s="832" t="s">
        <v>975</v>
      </c>
      <c r="C277" s="1060">
        <v>0.15</v>
      </c>
      <c r="D277" s="1060">
        <v>0.15</v>
      </c>
      <c r="E277" s="1060">
        <v>0.15</v>
      </c>
      <c r="F277" s="1061">
        <v>0.121</v>
      </c>
    </row>
    <row r="278" spans="1:6" ht="15" thickBot="1">
      <c r="A278" s="838" t="s">
        <v>530</v>
      </c>
      <c r="B278" s="832" t="s">
        <v>976</v>
      </c>
      <c r="C278" s="1060">
        <v>0.15</v>
      </c>
      <c r="D278" s="1060">
        <v>0.15</v>
      </c>
      <c r="E278" s="1060">
        <v>0.15</v>
      </c>
      <c r="F278" s="1061">
        <v>0.13800000000000001</v>
      </c>
    </row>
    <row r="279" spans="1:6" ht="24.6" thickBot="1">
      <c r="A279" s="838" t="s">
        <v>530</v>
      </c>
      <c r="B279" s="832" t="s">
        <v>977</v>
      </c>
      <c r="C279" s="1073"/>
      <c r="D279" s="1073"/>
      <c r="E279" s="1073"/>
      <c r="F279" s="1061">
        <v>0.05</v>
      </c>
    </row>
    <row r="280" spans="1:6" ht="24.6" thickBot="1">
      <c r="A280" s="838" t="s">
        <v>530</v>
      </c>
      <c r="B280" s="832" t="s">
        <v>978</v>
      </c>
      <c r="C280" s="1073"/>
      <c r="D280" s="1073"/>
      <c r="E280" s="1073"/>
      <c r="F280" s="1061">
        <v>0.05</v>
      </c>
    </row>
    <row r="281" spans="1:6" ht="24.6" thickBot="1">
      <c r="A281" s="838" t="s">
        <v>530</v>
      </c>
      <c r="B281" s="832" t="s">
        <v>979</v>
      </c>
      <c r="C281" s="1073"/>
      <c r="D281" s="1073"/>
      <c r="E281" s="1073"/>
      <c r="F281" s="1061">
        <v>0.05</v>
      </c>
    </row>
    <row r="282" spans="1:6" ht="24.6" thickBot="1">
      <c r="A282" s="838" t="s">
        <v>530</v>
      </c>
      <c r="B282" s="832" t="s">
        <v>980</v>
      </c>
      <c r="C282" s="1073"/>
      <c r="D282" s="1073"/>
      <c r="E282" s="1073"/>
      <c r="F282" s="1061">
        <v>0.05</v>
      </c>
    </row>
    <row r="283" spans="1:6" ht="24.6" thickBot="1">
      <c r="A283" s="838" t="s">
        <v>530</v>
      </c>
      <c r="B283" s="832" t="s">
        <v>981</v>
      </c>
      <c r="C283" s="1073"/>
      <c r="D283" s="1073"/>
      <c r="E283" s="1073"/>
      <c r="F283" s="1061">
        <v>0.05</v>
      </c>
    </row>
    <row r="284" spans="1:6" ht="24.6" thickBot="1">
      <c r="A284" s="838" t="s">
        <v>530</v>
      </c>
      <c r="B284" s="832" t="s">
        <v>982</v>
      </c>
      <c r="C284" s="1073"/>
      <c r="D284" s="1073"/>
      <c r="E284" s="1073"/>
      <c r="F284" s="1061">
        <v>0.05</v>
      </c>
    </row>
    <row r="285" spans="1:6" ht="24.6" thickBot="1">
      <c r="A285" s="838" t="s">
        <v>530</v>
      </c>
      <c r="B285" s="832" t="s">
        <v>983</v>
      </c>
      <c r="C285" s="1073"/>
      <c r="D285" s="1073"/>
      <c r="E285" s="1073"/>
      <c r="F285" s="1061">
        <v>0.05</v>
      </c>
    </row>
    <row r="286" spans="1:6" ht="24.6" thickBot="1">
      <c r="A286" s="838" t="s">
        <v>530</v>
      </c>
      <c r="B286" s="832" t="s">
        <v>984</v>
      </c>
      <c r="C286" s="1073"/>
      <c r="D286" s="1073"/>
      <c r="E286" s="1073"/>
      <c r="F286" s="1061">
        <v>0.05</v>
      </c>
    </row>
    <row r="287" spans="1:6" ht="24.6" thickBot="1">
      <c r="A287" s="838" t="s">
        <v>530</v>
      </c>
      <c r="B287" s="832" t="s">
        <v>985</v>
      </c>
      <c r="C287" s="1073"/>
      <c r="D287" s="1073"/>
      <c r="E287" s="1073"/>
      <c r="F287" s="1061">
        <v>0.05</v>
      </c>
    </row>
    <row r="288" spans="1:6" ht="24.6" thickBot="1">
      <c r="A288" s="838" t="s">
        <v>530</v>
      </c>
      <c r="B288" s="832" t="s">
        <v>986</v>
      </c>
      <c r="C288" s="1073"/>
      <c r="D288" s="1073"/>
      <c r="E288" s="1073"/>
      <c r="F288" s="1061">
        <v>0.05</v>
      </c>
    </row>
    <row r="289" spans="1:6" ht="24.6" thickBot="1">
      <c r="A289" s="848" t="s">
        <v>530</v>
      </c>
      <c r="B289" s="844" t="s">
        <v>987</v>
      </c>
      <c r="C289" s="1070"/>
      <c r="D289" s="1070"/>
      <c r="E289" s="1070"/>
      <c r="F289" s="1063">
        <v>0.05</v>
      </c>
    </row>
    <row r="290" spans="1:6" ht="15" thickBot="1">
      <c r="A290" s="838" t="s">
        <v>534</v>
      </c>
      <c r="B290" s="839" t="s">
        <v>988</v>
      </c>
      <c r="C290" s="1058">
        <v>0.15</v>
      </c>
      <c r="D290" s="1058">
        <v>0.15</v>
      </c>
      <c r="E290" s="1058">
        <v>0.15</v>
      </c>
      <c r="F290" s="1075"/>
    </row>
    <row r="291" spans="1:6" ht="15" thickBot="1">
      <c r="A291" s="838" t="s">
        <v>534</v>
      </c>
      <c r="B291" s="832" t="s">
        <v>196</v>
      </c>
      <c r="C291" s="1060">
        <v>0.15</v>
      </c>
      <c r="D291" s="1060">
        <v>0.15</v>
      </c>
      <c r="E291" s="1060">
        <v>0.15</v>
      </c>
      <c r="F291" s="1072"/>
    </row>
    <row r="292" spans="1:6" ht="15" thickBot="1">
      <c r="A292" s="838" t="s">
        <v>534</v>
      </c>
      <c r="B292" s="832" t="s">
        <v>989</v>
      </c>
      <c r="C292" s="1060">
        <v>0.15</v>
      </c>
      <c r="D292" s="1060">
        <v>0.15</v>
      </c>
      <c r="E292" s="1060">
        <v>0.15</v>
      </c>
      <c r="F292" s="1061">
        <v>0.14699999999999999</v>
      </c>
    </row>
    <row r="293" spans="1:6" ht="15" thickBot="1">
      <c r="A293" s="838" t="s">
        <v>534</v>
      </c>
      <c r="B293" s="832" t="s">
        <v>990</v>
      </c>
      <c r="C293" s="1073"/>
      <c r="D293" s="1073"/>
      <c r="E293" s="1073"/>
      <c r="F293" s="1061">
        <v>0.1</v>
      </c>
    </row>
    <row r="294" spans="1:6" ht="15" thickBot="1">
      <c r="A294" s="838" t="s">
        <v>534</v>
      </c>
      <c r="B294" s="832" t="s">
        <v>991</v>
      </c>
      <c r="C294" s="1060">
        <v>0.15</v>
      </c>
      <c r="D294" s="1060">
        <v>0.15</v>
      </c>
      <c r="E294" s="1060">
        <v>0.15</v>
      </c>
      <c r="F294" s="1061">
        <v>0.15</v>
      </c>
    </row>
    <row r="295" spans="1:6" ht="15" thickBot="1">
      <c r="A295" s="838" t="s">
        <v>534</v>
      </c>
      <c r="B295" s="832" t="s">
        <v>234</v>
      </c>
      <c r="C295" s="1060">
        <v>0.15</v>
      </c>
      <c r="D295" s="1060">
        <v>0.15</v>
      </c>
      <c r="E295" s="1060">
        <v>0.15</v>
      </c>
      <c r="F295" s="1061">
        <v>0.15</v>
      </c>
    </row>
    <row r="296" spans="1:6" ht="15" thickBot="1">
      <c r="A296" s="838" t="s">
        <v>534</v>
      </c>
      <c r="B296" s="832" t="s">
        <v>992</v>
      </c>
      <c r="C296" s="1060">
        <v>0.15</v>
      </c>
      <c r="D296" s="1060">
        <v>0.15</v>
      </c>
      <c r="E296" s="1060">
        <v>0.15</v>
      </c>
      <c r="F296" s="1061">
        <v>0.15</v>
      </c>
    </row>
    <row r="297" spans="1:6" ht="15" thickBot="1">
      <c r="A297" s="838" t="s">
        <v>534</v>
      </c>
      <c r="B297" s="832" t="s">
        <v>993</v>
      </c>
      <c r="C297" s="1060">
        <v>0.14799999999999999</v>
      </c>
      <c r="D297" s="1060">
        <v>0.14899999999999999</v>
      </c>
      <c r="E297" s="1060">
        <v>0.15</v>
      </c>
      <c r="F297" s="1061">
        <v>0.13700000000000001</v>
      </c>
    </row>
    <row r="298" spans="1:6" ht="15" thickBot="1">
      <c r="A298" s="838" t="s">
        <v>534</v>
      </c>
      <c r="B298" s="832" t="s">
        <v>267</v>
      </c>
      <c r="C298" s="1060">
        <v>0.13400000000000001</v>
      </c>
      <c r="D298" s="1060">
        <v>0.13400000000000001</v>
      </c>
      <c r="E298" s="1060">
        <v>0.14499999999999999</v>
      </c>
      <c r="F298" s="1061">
        <v>0.14799999999999999</v>
      </c>
    </row>
    <row r="299" spans="1:6" ht="15" thickBot="1">
      <c r="A299" s="838" t="s">
        <v>534</v>
      </c>
      <c r="B299" s="832" t="s">
        <v>279</v>
      </c>
      <c r="C299" s="1060">
        <v>0.15</v>
      </c>
      <c r="D299" s="1060">
        <v>0.15</v>
      </c>
      <c r="E299" s="1060">
        <v>0.15</v>
      </c>
      <c r="F299" s="1072"/>
    </row>
    <row r="300" spans="1:6" ht="15" thickBot="1">
      <c r="A300" s="838" t="s">
        <v>534</v>
      </c>
      <c r="B300" s="832" t="s">
        <v>994</v>
      </c>
      <c r="C300" s="1060">
        <v>0.15</v>
      </c>
      <c r="D300" s="1060">
        <v>0.15</v>
      </c>
      <c r="E300" s="1060">
        <v>0.15</v>
      </c>
      <c r="F300" s="1061">
        <v>0.15</v>
      </c>
    </row>
    <row r="301" spans="1:6" ht="15" thickBot="1">
      <c r="A301" s="838" t="s">
        <v>534</v>
      </c>
      <c r="B301" s="832" t="s">
        <v>299</v>
      </c>
      <c r="C301" s="1060">
        <v>0.15</v>
      </c>
      <c r="D301" s="1060">
        <v>0.15</v>
      </c>
      <c r="E301" s="1060">
        <v>0.15</v>
      </c>
      <c r="F301" s="1072"/>
    </row>
    <row r="302" spans="1:6" ht="15" thickBot="1">
      <c r="A302" s="838" t="s">
        <v>534</v>
      </c>
      <c r="B302" s="832" t="s">
        <v>995</v>
      </c>
      <c r="C302" s="1060">
        <v>0.15</v>
      </c>
      <c r="D302" s="1060">
        <v>0.15</v>
      </c>
      <c r="E302" s="1060">
        <v>0.15</v>
      </c>
      <c r="F302" s="1061">
        <v>0.15</v>
      </c>
    </row>
    <row r="303" spans="1:6" ht="15" thickBot="1">
      <c r="A303" s="838" t="s">
        <v>534</v>
      </c>
      <c r="B303" s="832" t="s">
        <v>319</v>
      </c>
      <c r="C303" s="1060">
        <v>0.15</v>
      </c>
      <c r="D303" s="1060">
        <v>0.15</v>
      </c>
      <c r="E303" s="1060">
        <v>0.15</v>
      </c>
      <c r="F303" s="1061">
        <v>0.15</v>
      </c>
    </row>
    <row r="304" spans="1:6" ht="15" thickBot="1">
      <c r="A304" s="838" t="s">
        <v>534</v>
      </c>
      <c r="B304" s="832" t="s">
        <v>330</v>
      </c>
      <c r="C304" s="1060">
        <v>0.15</v>
      </c>
      <c r="D304" s="1060">
        <v>0.15</v>
      </c>
      <c r="E304" s="1060">
        <v>0.15</v>
      </c>
      <c r="F304" s="1072"/>
    </row>
    <row r="305" spans="1:6" ht="15" thickBot="1">
      <c r="A305" s="838" t="s">
        <v>534</v>
      </c>
      <c r="B305" s="832" t="s">
        <v>996</v>
      </c>
      <c r="C305" s="1060">
        <v>0.15</v>
      </c>
      <c r="D305" s="1060">
        <v>0.15</v>
      </c>
      <c r="E305" s="1060">
        <v>0.15</v>
      </c>
      <c r="F305" s="1061">
        <v>0.14000000000000001</v>
      </c>
    </row>
    <row r="306" spans="1:6" ht="15" thickBot="1">
      <c r="A306" s="838" t="s">
        <v>534</v>
      </c>
      <c r="B306" s="832" t="s">
        <v>351</v>
      </c>
      <c r="C306" s="1060">
        <v>0.15</v>
      </c>
      <c r="D306" s="1060">
        <v>0.15</v>
      </c>
      <c r="E306" s="1060">
        <v>0.15</v>
      </c>
      <c r="F306" s="1072"/>
    </row>
    <row r="307" spans="1:6" ht="15" thickBot="1">
      <c r="A307" s="838" t="s">
        <v>534</v>
      </c>
      <c r="B307" s="832" t="s">
        <v>997</v>
      </c>
      <c r="C307" s="1060">
        <v>0.15</v>
      </c>
      <c r="D307" s="1060">
        <v>0.15</v>
      </c>
      <c r="E307" s="1060">
        <v>0.15</v>
      </c>
      <c r="F307" s="1061">
        <v>0.14299999999999999</v>
      </c>
    </row>
    <row r="308" spans="1:6" ht="15" thickBot="1">
      <c r="A308" s="838" t="s">
        <v>534</v>
      </c>
      <c r="B308" s="832" t="s">
        <v>371</v>
      </c>
      <c r="C308" s="1060">
        <v>0.15</v>
      </c>
      <c r="D308" s="1060">
        <v>0.15</v>
      </c>
      <c r="E308" s="1060">
        <v>0.15</v>
      </c>
      <c r="F308" s="1061">
        <v>0.15</v>
      </c>
    </row>
    <row r="309" spans="1:6" ht="15" thickBot="1">
      <c r="A309" s="838" t="s">
        <v>534</v>
      </c>
      <c r="B309" s="832" t="s">
        <v>381</v>
      </c>
      <c r="C309" s="1060">
        <v>0.15</v>
      </c>
      <c r="D309" s="1060">
        <v>0.15</v>
      </c>
      <c r="E309" s="1060">
        <v>0.15</v>
      </c>
      <c r="F309" s="1072"/>
    </row>
    <row r="310" spans="1:6" ht="15" thickBot="1">
      <c r="A310" s="838" t="s">
        <v>534</v>
      </c>
      <c r="B310" s="832" t="s">
        <v>998</v>
      </c>
      <c r="C310" s="1060">
        <v>0.15</v>
      </c>
      <c r="D310" s="1060">
        <v>0.15</v>
      </c>
      <c r="E310" s="1060">
        <v>0.15</v>
      </c>
      <c r="F310" s="1061">
        <v>0.13700000000000001</v>
      </c>
    </row>
    <row r="311" spans="1:6" ht="15" thickBot="1">
      <c r="A311" s="838" t="s">
        <v>534</v>
      </c>
      <c r="B311" s="832" t="s">
        <v>999</v>
      </c>
      <c r="C311" s="1060">
        <v>0.15</v>
      </c>
      <c r="D311" s="1060">
        <v>0.15</v>
      </c>
      <c r="E311" s="1060">
        <v>0.15</v>
      </c>
      <c r="F311" s="1061">
        <v>0.15</v>
      </c>
    </row>
    <row r="312" spans="1:6" ht="15" thickBot="1">
      <c r="A312" s="838" t="s">
        <v>534</v>
      </c>
      <c r="B312" s="832" t="s">
        <v>407</v>
      </c>
      <c r="C312" s="1060">
        <v>0.15</v>
      </c>
      <c r="D312" s="1060">
        <v>0.15</v>
      </c>
      <c r="E312" s="1060">
        <v>0.15</v>
      </c>
      <c r="F312" s="1061">
        <v>0.1</v>
      </c>
    </row>
    <row r="313" spans="1:6" ht="15" thickBot="1">
      <c r="A313" s="838" t="s">
        <v>534</v>
      </c>
      <c r="B313" s="832" t="s">
        <v>1000</v>
      </c>
      <c r="C313" s="1060">
        <v>0.15</v>
      </c>
      <c r="D313" s="1060">
        <v>0.15</v>
      </c>
      <c r="E313" s="1060">
        <v>0.15</v>
      </c>
      <c r="F313" s="1061">
        <v>0.15</v>
      </c>
    </row>
    <row r="314" spans="1:6" ht="24.6" thickBot="1">
      <c r="A314" s="838" t="s">
        <v>534</v>
      </c>
      <c r="B314" s="832" t="s">
        <v>1001</v>
      </c>
      <c r="C314" s="1073"/>
      <c r="D314" s="1073"/>
      <c r="E314" s="1073"/>
      <c r="F314" s="1061">
        <v>0.05</v>
      </c>
    </row>
    <row r="315" spans="1:6" ht="24.6" thickBot="1">
      <c r="A315" s="838" t="s">
        <v>534</v>
      </c>
      <c r="B315" s="832" t="s">
        <v>1002</v>
      </c>
      <c r="C315" s="1073"/>
      <c r="D315" s="1073"/>
      <c r="E315" s="1073"/>
      <c r="F315" s="1061">
        <v>0.05</v>
      </c>
    </row>
    <row r="316" spans="1:6" ht="24.6" thickBot="1">
      <c r="A316" s="848" t="s">
        <v>534</v>
      </c>
      <c r="B316" s="844" t="s">
        <v>1003</v>
      </c>
      <c r="C316" s="1070"/>
      <c r="D316" s="1070"/>
      <c r="E316" s="1070"/>
      <c r="F316" s="1063">
        <v>0.05</v>
      </c>
    </row>
    <row r="317" spans="1:6" ht="15" thickBot="1">
      <c r="A317" s="838" t="s">
        <v>1004</v>
      </c>
      <c r="B317" s="839" t="s">
        <v>1005</v>
      </c>
      <c r="C317" s="1058">
        <v>0.15</v>
      </c>
      <c r="D317" s="1058">
        <v>0.15</v>
      </c>
      <c r="E317" s="1058">
        <v>0.15</v>
      </c>
      <c r="F317" s="1059">
        <v>0.15</v>
      </c>
    </row>
    <row r="318" spans="1:6" ht="15" thickBot="1">
      <c r="A318" s="838" t="s">
        <v>1004</v>
      </c>
      <c r="B318" s="832" t="s">
        <v>1006</v>
      </c>
      <c r="C318" s="1060">
        <v>0.107</v>
      </c>
      <c r="D318" s="1060">
        <v>0.11</v>
      </c>
      <c r="E318" s="1060">
        <v>0.112</v>
      </c>
      <c r="F318" s="1072"/>
    </row>
    <row r="319" spans="1:6" ht="15" thickBot="1">
      <c r="A319" s="838" t="s">
        <v>1004</v>
      </c>
      <c r="B319" s="832" t="s">
        <v>1007</v>
      </c>
      <c r="C319" s="1060">
        <v>0.15</v>
      </c>
      <c r="D319" s="1060">
        <v>0.15</v>
      </c>
      <c r="E319" s="1060">
        <v>0.15</v>
      </c>
      <c r="F319" s="1061">
        <v>0.15</v>
      </c>
    </row>
    <row r="320" spans="1:6" ht="15" thickBot="1">
      <c r="A320" s="838" t="s">
        <v>1004</v>
      </c>
      <c r="B320" s="832" t="s">
        <v>223</v>
      </c>
      <c r="C320" s="1060">
        <v>0.15</v>
      </c>
      <c r="D320" s="1060">
        <v>0.15</v>
      </c>
      <c r="E320" s="1060">
        <v>0.15</v>
      </c>
      <c r="F320" s="1072"/>
    </row>
    <row r="321" spans="1:6" ht="15" thickBot="1">
      <c r="A321" s="838" t="s">
        <v>1004</v>
      </c>
      <c r="B321" s="832" t="s">
        <v>1008</v>
      </c>
      <c r="C321" s="1060">
        <v>0.15</v>
      </c>
      <c r="D321" s="1060">
        <v>0.15</v>
      </c>
      <c r="E321" s="1060">
        <v>0.15</v>
      </c>
      <c r="F321" s="1072"/>
    </row>
    <row r="322" spans="1:6" ht="15" thickBot="1">
      <c r="A322" s="838" t="s">
        <v>1004</v>
      </c>
      <c r="B322" s="832" t="s">
        <v>1009</v>
      </c>
      <c r="C322" s="1060">
        <v>0.15</v>
      </c>
      <c r="D322" s="1060">
        <v>0.15</v>
      </c>
      <c r="E322" s="1060">
        <v>0.15</v>
      </c>
      <c r="F322" s="1061">
        <v>0.15</v>
      </c>
    </row>
    <row r="323" spans="1:6" ht="15" thickBot="1">
      <c r="A323" s="838" t="s">
        <v>1004</v>
      </c>
      <c r="B323" s="832" t="s">
        <v>1010</v>
      </c>
      <c r="C323" s="1060">
        <v>0.15</v>
      </c>
      <c r="D323" s="1060">
        <v>0.15</v>
      </c>
      <c r="E323" s="1060">
        <v>0.15</v>
      </c>
      <c r="F323" s="1072"/>
    </row>
    <row r="324" spans="1:6" ht="15" thickBot="1">
      <c r="A324" s="838" t="s">
        <v>1004</v>
      </c>
      <c r="B324" s="832" t="s">
        <v>1011</v>
      </c>
      <c r="C324" s="1060">
        <v>0.15</v>
      </c>
      <c r="D324" s="1060">
        <v>0.15</v>
      </c>
      <c r="E324" s="1060">
        <v>0.15</v>
      </c>
      <c r="F324" s="1072"/>
    </row>
    <row r="325" spans="1:6" ht="15" thickBot="1">
      <c r="A325" s="838" t="s">
        <v>1004</v>
      </c>
      <c r="B325" s="832" t="s">
        <v>1012</v>
      </c>
      <c r="C325" s="1060">
        <v>0.15</v>
      </c>
      <c r="D325" s="1060">
        <v>0.15</v>
      </c>
      <c r="E325" s="1060">
        <v>0.15</v>
      </c>
      <c r="F325" s="1061">
        <v>0.14699999999999999</v>
      </c>
    </row>
    <row r="326" spans="1:6" ht="15" thickBot="1">
      <c r="A326" s="838" t="s">
        <v>1004</v>
      </c>
      <c r="B326" s="832" t="s">
        <v>290</v>
      </c>
      <c r="C326" s="1060">
        <v>0.15</v>
      </c>
      <c r="D326" s="1060">
        <v>0.15</v>
      </c>
      <c r="E326" s="1060">
        <v>0.15</v>
      </c>
      <c r="F326" s="1072"/>
    </row>
    <row r="327" spans="1:6" ht="15" thickBot="1">
      <c r="A327" s="838" t="s">
        <v>1004</v>
      </c>
      <c r="B327" s="832" t="s">
        <v>1013</v>
      </c>
      <c r="C327" s="1060">
        <v>0.15</v>
      </c>
      <c r="D327" s="1060">
        <v>0.15</v>
      </c>
      <c r="E327" s="1060">
        <v>0.15</v>
      </c>
      <c r="F327" s="1061">
        <v>0.15</v>
      </c>
    </row>
    <row r="328" spans="1:6" ht="15" thickBot="1">
      <c r="A328" s="838" t="s">
        <v>1004</v>
      </c>
      <c r="B328" s="832" t="s">
        <v>310</v>
      </c>
      <c r="C328" s="1060">
        <v>0.15</v>
      </c>
      <c r="D328" s="1060">
        <v>0.15</v>
      </c>
      <c r="E328" s="1060">
        <v>0.15</v>
      </c>
      <c r="F328" s="1061">
        <v>0.14099999999999999</v>
      </c>
    </row>
    <row r="329" spans="1:6" ht="15" thickBot="1">
      <c r="A329" s="838" t="s">
        <v>1004</v>
      </c>
      <c r="B329" s="832" t="s">
        <v>320</v>
      </c>
      <c r="C329" s="1060">
        <v>0.15</v>
      </c>
      <c r="D329" s="1060">
        <v>0.15</v>
      </c>
      <c r="E329" s="1060">
        <v>0.15</v>
      </c>
      <c r="F329" s="1061">
        <v>0.15</v>
      </c>
    </row>
    <row r="330" spans="1:6" ht="15" thickBot="1">
      <c r="A330" s="838" t="s">
        <v>1004</v>
      </c>
      <c r="B330" s="832" t="s">
        <v>331</v>
      </c>
      <c r="C330" s="1060">
        <v>0.15</v>
      </c>
      <c r="D330" s="1060">
        <v>0.15</v>
      </c>
      <c r="E330" s="1060">
        <v>0.15</v>
      </c>
      <c r="F330" s="1072"/>
    </row>
    <row r="331" spans="1:6" ht="15" thickBot="1">
      <c r="A331" s="838" t="s">
        <v>1004</v>
      </c>
      <c r="B331" s="832" t="s">
        <v>1014</v>
      </c>
      <c r="C331" s="1060">
        <v>0.15</v>
      </c>
      <c r="D331" s="1060">
        <v>0.15</v>
      </c>
      <c r="E331" s="1060">
        <v>0.15</v>
      </c>
      <c r="F331" s="1061">
        <v>0.15</v>
      </c>
    </row>
    <row r="332" spans="1:6" ht="15" thickBot="1">
      <c r="A332" s="838" t="s">
        <v>1004</v>
      </c>
      <c r="B332" s="832" t="s">
        <v>352</v>
      </c>
      <c r="C332" s="1060">
        <v>0.15</v>
      </c>
      <c r="D332" s="1060">
        <v>0.15</v>
      </c>
      <c r="E332" s="1060">
        <v>0.15</v>
      </c>
      <c r="F332" s="1061">
        <v>0.15</v>
      </c>
    </row>
    <row r="333" spans="1:6" ht="15" thickBot="1">
      <c r="A333" s="838" t="s">
        <v>1004</v>
      </c>
      <c r="B333" s="832" t="s">
        <v>1015</v>
      </c>
      <c r="C333" s="1060">
        <v>0.15</v>
      </c>
      <c r="D333" s="1060">
        <v>0.15</v>
      </c>
      <c r="E333" s="1060">
        <v>0.15</v>
      </c>
      <c r="F333" s="1061">
        <v>0.14099999999999999</v>
      </c>
    </row>
    <row r="334" spans="1:6" ht="15" thickBot="1">
      <c r="A334" s="838" t="s">
        <v>1004</v>
      </c>
      <c r="B334" s="832" t="s">
        <v>372</v>
      </c>
      <c r="C334" s="1060">
        <v>0.15</v>
      </c>
      <c r="D334" s="1060">
        <v>0.15</v>
      </c>
      <c r="E334" s="1060">
        <v>0.15</v>
      </c>
      <c r="F334" s="1061">
        <v>0.15</v>
      </c>
    </row>
    <row r="335" spans="1:6" ht="15" thickBot="1">
      <c r="A335" s="838" t="s">
        <v>1004</v>
      </c>
      <c r="B335" s="832" t="s">
        <v>382</v>
      </c>
      <c r="C335" s="1060">
        <v>0.15</v>
      </c>
      <c r="D335" s="1060">
        <v>0.15</v>
      </c>
      <c r="E335" s="1060">
        <v>0.15</v>
      </c>
      <c r="F335" s="1072"/>
    </row>
    <row r="336" spans="1:6" ht="15" thickBot="1">
      <c r="A336" s="838" t="s">
        <v>1004</v>
      </c>
      <c r="B336" s="832" t="s">
        <v>1016</v>
      </c>
      <c r="C336" s="1060">
        <v>0.15</v>
      </c>
      <c r="D336" s="1060">
        <v>0.15</v>
      </c>
      <c r="E336" s="1060">
        <v>0.15</v>
      </c>
      <c r="F336" s="1061">
        <v>0.11799999999999999</v>
      </c>
    </row>
    <row r="337" spans="1:6" ht="15" thickBot="1">
      <c r="A337" s="848" t="s">
        <v>1004</v>
      </c>
      <c r="B337" s="844" t="s">
        <v>400</v>
      </c>
      <c r="C337" s="1070"/>
      <c r="D337" s="1070"/>
      <c r="E337" s="1070"/>
      <c r="F337" s="1063">
        <v>0.14299999999999999</v>
      </c>
    </row>
    <row r="338" spans="1:6" ht="15" thickBot="1">
      <c r="A338" s="838" t="s">
        <v>1017</v>
      </c>
      <c r="B338" s="839" t="s">
        <v>1018</v>
      </c>
      <c r="C338" s="1058">
        <v>0.15</v>
      </c>
      <c r="D338" s="1058">
        <v>0.15</v>
      </c>
      <c r="E338" s="1058">
        <v>0.15</v>
      </c>
      <c r="F338" s="1075"/>
    </row>
    <row r="339" spans="1:6" ht="15" thickBot="1">
      <c r="A339" s="838" t="s">
        <v>1017</v>
      </c>
      <c r="B339" s="832" t="s">
        <v>1019</v>
      </c>
      <c r="C339" s="1060">
        <v>0.15</v>
      </c>
      <c r="D339" s="1060">
        <v>0.15</v>
      </c>
      <c r="E339" s="1060">
        <v>0.15</v>
      </c>
      <c r="F339" s="1072"/>
    </row>
    <row r="340" spans="1:6" ht="15" thickBot="1">
      <c r="A340" s="838" t="s">
        <v>1017</v>
      </c>
      <c r="B340" s="832" t="s">
        <v>1020</v>
      </c>
      <c r="C340" s="1060">
        <v>0.15</v>
      </c>
      <c r="D340" s="1060">
        <v>0.15</v>
      </c>
      <c r="E340" s="1060">
        <v>0.15</v>
      </c>
      <c r="F340" s="1072"/>
    </row>
    <row r="341" spans="1:6" ht="15" thickBot="1">
      <c r="A341" s="838" t="s">
        <v>1017</v>
      </c>
      <c r="B341" s="832" t="s">
        <v>1021</v>
      </c>
      <c r="C341" s="1060">
        <v>0.15</v>
      </c>
      <c r="D341" s="1060">
        <v>0.15</v>
      </c>
      <c r="E341" s="1060">
        <v>0.15</v>
      </c>
      <c r="F341" s="1061">
        <v>0.15</v>
      </c>
    </row>
    <row r="342" spans="1:6" ht="15" thickBot="1">
      <c r="A342" s="838" t="s">
        <v>1017</v>
      </c>
      <c r="B342" s="832" t="s">
        <v>1022</v>
      </c>
      <c r="C342" s="1060">
        <v>0.15</v>
      </c>
      <c r="D342" s="1060">
        <v>0.15</v>
      </c>
      <c r="E342" s="1060">
        <v>0.15</v>
      </c>
      <c r="F342" s="1061">
        <v>0.15</v>
      </c>
    </row>
    <row r="343" spans="1:6" ht="15" thickBot="1">
      <c r="A343" s="838" t="s">
        <v>1017</v>
      </c>
      <c r="B343" s="832" t="s">
        <v>1023</v>
      </c>
      <c r="C343" s="1060">
        <v>0.15</v>
      </c>
      <c r="D343" s="1060">
        <v>0.15</v>
      </c>
      <c r="E343" s="1060">
        <v>0.15</v>
      </c>
      <c r="F343" s="1061">
        <v>0.15</v>
      </c>
    </row>
    <row r="344" spans="1:6" ht="1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6" t="s">
        <v>1367</v>
      </c>
      <c r="E1" s="1770" t="s">
        <v>1371</v>
      </c>
      <c r="F1" s="1771" t="s">
        <v>1375</v>
      </c>
    </row>
    <row r="2" spans="1:13" ht="19.8">
      <c r="A2" s="1777" t="s">
        <v>1368</v>
      </c>
    </row>
    <row r="3" spans="1:13" ht="15.6">
      <c r="A3" s="1778" t="s">
        <v>1369</v>
      </c>
    </row>
    <row r="4" spans="1:13">
      <c r="A4" s="1768" t="s">
        <v>1370</v>
      </c>
      <c r="B4" s="1773" t="s">
        <v>1372</v>
      </c>
      <c r="C4" s="1774"/>
      <c r="D4" s="1775"/>
      <c r="E4" s="1773" t="s">
        <v>27</v>
      </c>
      <c r="F4" s="1774"/>
      <c r="G4" s="1775"/>
      <c r="H4" s="1773" t="s">
        <v>1373</v>
      </c>
      <c r="I4" s="1774"/>
      <c r="J4" s="1775"/>
      <c r="K4" s="1773" t="s">
        <v>6</v>
      </c>
      <c r="L4" s="1774"/>
      <c r="M4" s="1775"/>
    </row>
    <row r="5" spans="1:13">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workbookViewId="0">
      <selection activeCell="L141" sqref="L141"/>
    </sheetView>
  </sheetViews>
  <sheetFormatPr defaultRowHeight="14.4"/>
  <sheetData>
    <row r="1" spans="1:17" ht="25.5" customHeight="1" thickTop="1" thickBot="1">
      <c r="A1" s="3500" t="s">
        <v>4740</v>
      </c>
      <c r="B1" s="3500" t="s">
        <v>4741</v>
      </c>
      <c r="C1" s="3500" t="s">
        <v>4742</v>
      </c>
      <c r="D1" s="3493" t="s">
        <v>4743</v>
      </c>
      <c r="E1" s="3494"/>
      <c r="F1" s="3493" t="s">
        <v>4744</v>
      </c>
      <c r="G1" s="3494"/>
      <c r="H1" s="3493" t="s">
        <v>4745</v>
      </c>
      <c r="I1" s="3494"/>
      <c r="L1" s="3485" t="s">
        <v>4755</v>
      </c>
      <c r="M1" s="3495" t="s">
        <v>4756</v>
      </c>
      <c r="N1" s="3495" t="s">
        <v>4757</v>
      </c>
      <c r="O1" s="3497" t="s">
        <v>4758</v>
      </c>
      <c r="P1" s="3498"/>
      <c r="Q1" s="3499"/>
    </row>
    <row r="2" spans="1:17" ht="15" thickBot="1">
      <c r="A2" s="3501"/>
      <c r="B2" s="3501"/>
      <c r="C2" s="3501"/>
      <c r="D2" s="3101" t="s">
        <v>4746</v>
      </c>
      <c r="E2" s="3101" t="s">
        <v>4747</v>
      </c>
      <c r="F2" s="3101" t="s">
        <v>4748</v>
      </c>
      <c r="G2" s="3101" t="s">
        <v>4747</v>
      </c>
      <c r="H2" s="3101" t="s">
        <v>4748</v>
      </c>
      <c r="I2" s="3101" t="s">
        <v>4747</v>
      </c>
      <c r="L2" s="3486"/>
      <c r="M2" s="3496"/>
      <c r="N2" s="3496"/>
      <c r="O2" s="3106" t="s">
        <v>37</v>
      </c>
      <c r="P2" s="3107" t="s">
        <v>3078</v>
      </c>
      <c r="Q2" s="3107" t="s">
        <v>3079</v>
      </c>
    </row>
    <row r="3" spans="1:17" ht="126.6" thickBot="1">
      <c r="A3" s="3102" t="s">
        <v>4749</v>
      </c>
      <c r="B3" s="3103">
        <v>149246.95000000001</v>
      </c>
      <c r="C3" s="3103">
        <v>59319.7</v>
      </c>
      <c r="D3" s="3103">
        <v>371321</v>
      </c>
      <c r="E3" s="3103">
        <v>24880</v>
      </c>
      <c r="F3" s="3103">
        <v>33168</v>
      </c>
      <c r="G3" s="3103">
        <v>2222</v>
      </c>
      <c r="H3" s="3103">
        <v>404489</v>
      </c>
      <c r="I3" s="3103">
        <v>27102</v>
      </c>
      <c r="L3" s="3486"/>
      <c r="M3" s="3480" t="s">
        <v>4759</v>
      </c>
      <c r="N3" s="3108" t="s">
        <v>4472</v>
      </c>
      <c r="O3" s="3109">
        <v>32718.36</v>
      </c>
      <c r="P3" s="3109">
        <v>32718.36</v>
      </c>
      <c r="Q3" s="3109">
        <v>0</v>
      </c>
    </row>
    <row r="4" spans="1:17" ht="114" thickBot="1">
      <c r="A4" s="3102" t="s">
        <v>4750</v>
      </c>
      <c r="B4" s="3103">
        <v>169816</v>
      </c>
      <c r="C4" s="3103">
        <v>64089.62</v>
      </c>
      <c r="D4" s="3103">
        <v>304514</v>
      </c>
      <c r="E4" s="3103">
        <v>17932</v>
      </c>
      <c r="F4" s="3103"/>
      <c r="G4" s="3103"/>
      <c r="H4" s="3103">
        <v>304514</v>
      </c>
      <c r="I4" s="3103">
        <v>17932</v>
      </c>
      <c r="L4" s="3486"/>
      <c r="M4" s="3488"/>
      <c r="N4" s="3108" t="s">
        <v>4713</v>
      </c>
      <c r="O4" s="3109">
        <v>7640.31</v>
      </c>
      <c r="P4" s="3109">
        <v>7640.31</v>
      </c>
      <c r="Q4" s="3109">
        <v>0</v>
      </c>
    </row>
    <row r="5" spans="1:17" ht="15" thickBot="1">
      <c r="A5" s="3104" t="s">
        <v>37</v>
      </c>
      <c r="B5" s="3103">
        <v>319062.95</v>
      </c>
      <c r="C5" s="3103">
        <v>64089.62</v>
      </c>
      <c r="D5" s="3502">
        <f>D3+D4</f>
        <v>675835</v>
      </c>
      <c r="E5" s="3503"/>
      <c r="F5" s="3502">
        <f>F3+F4</f>
        <v>33168</v>
      </c>
      <c r="G5" s="3503"/>
      <c r="H5" s="3502">
        <f>H3+H4</f>
        <v>709003</v>
      </c>
      <c r="I5" s="3503"/>
      <c r="L5" s="3486"/>
      <c r="M5" s="3488"/>
      <c r="N5" s="3108" t="s">
        <v>3211</v>
      </c>
      <c r="O5" s="3109">
        <v>32388.77</v>
      </c>
      <c r="P5" s="3109">
        <v>32388.77</v>
      </c>
      <c r="Q5" s="3109">
        <v>0</v>
      </c>
    </row>
    <row r="6" spans="1:17" ht="14.25" customHeight="1" thickBot="1">
      <c r="A6" s="3504" t="s">
        <v>4751</v>
      </c>
      <c r="B6" s="3505"/>
      <c r="C6" s="3506"/>
      <c r="D6" s="3290" t="str">
        <f>NUMBERSTRING(INT(D5*10000),2)&amp;"元整"</f>
        <v>陆拾柒亿伍仟捌佰叁拾伍万元整</v>
      </c>
      <c r="E6" s="3292"/>
      <c r="F6" s="3290" t="str">
        <f t="shared" ref="F6" si="0">NUMBERSTRING(INT(F5*10000),2)&amp;"元整"</f>
        <v>叁亿叁仟壹佰陆拾捌万元整</v>
      </c>
      <c r="G6" s="3292"/>
      <c r="H6" s="3290" t="str">
        <f t="shared" ref="H6" si="1">NUMBERSTRING(INT(H5*10000),2)&amp;"元整"</f>
        <v>柒拾亿玖仟零叁万元整</v>
      </c>
      <c r="I6" s="3292"/>
      <c r="L6" s="3486"/>
      <c r="M6" s="3488"/>
      <c r="N6" s="3108" t="s">
        <v>1372</v>
      </c>
      <c r="O6" s="3109">
        <v>645.96</v>
      </c>
      <c r="P6" s="3109">
        <v>263.92</v>
      </c>
      <c r="Q6" s="3109">
        <v>382.04</v>
      </c>
    </row>
    <row r="7" spans="1:17" ht="15" thickBot="1">
      <c r="A7" s="3510" t="s">
        <v>4752</v>
      </c>
      <c r="B7" s="3511"/>
      <c r="C7" s="3512"/>
      <c r="D7" s="3502">
        <v>0</v>
      </c>
      <c r="E7" s="3513"/>
      <c r="F7" s="3513"/>
      <c r="G7" s="3513"/>
      <c r="H7" s="3513"/>
      <c r="I7" s="3503"/>
      <c r="L7" s="3486"/>
      <c r="M7" s="3488"/>
      <c r="N7" s="3108" t="s">
        <v>48</v>
      </c>
      <c r="O7" s="3109">
        <v>21662.76</v>
      </c>
      <c r="P7" s="3109">
        <v>0</v>
      </c>
      <c r="Q7" s="3109">
        <v>21662.76</v>
      </c>
    </row>
    <row r="8" spans="1:17" ht="15" thickBot="1">
      <c r="A8" s="3504" t="s">
        <v>4751</v>
      </c>
      <c r="B8" s="3505"/>
      <c r="C8" s="3506"/>
      <c r="D8" s="3504" t="s">
        <v>4753</v>
      </c>
      <c r="E8" s="3505"/>
      <c r="F8" s="3505"/>
      <c r="G8" s="3505"/>
      <c r="H8" s="3505"/>
      <c r="I8" s="3506"/>
      <c r="L8" s="3486"/>
      <c r="M8" s="3488"/>
      <c r="N8" s="3108" t="s">
        <v>4760</v>
      </c>
      <c r="O8" s="3109">
        <v>5827.19</v>
      </c>
      <c r="P8" s="3109">
        <v>0</v>
      </c>
      <c r="Q8" s="3109">
        <v>5827.19</v>
      </c>
    </row>
    <row r="9" spans="1:17" ht="15" thickBot="1">
      <c r="A9" s="3510" t="s">
        <v>4441</v>
      </c>
      <c r="B9" s="3511"/>
      <c r="C9" s="3512"/>
      <c r="D9" s="3502">
        <f>H5</f>
        <v>709003</v>
      </c>
      <c r="E9" s="3513"/>
      <c r="F9" s="3513"/>
      <c r="G9" s="3513"/>
      <c r="H9" s="3513"/>
      <c r="I9" s="3503"/>
      <c r="L9" s="3486"/>
      <c r="M9" s="3488"/>
      <c r="N9" s="3108" t="s">
        <v>4761</v>
      </c>
      <c r="O9" s="3109">
        <v>41549.64</v>
      </c>
      <c r="P9" s="3109">
        <v>0</v>
      </c>
      <c r="Q9" s="3109">
        <v>41549.64</v>
      </c>
    </row>
    <row r="10" spans="1:17" ht="15" thickBot="1">
      <c r="A10" s="3507" t="s">
        <v>4751</v>
      </c>
      <c r="B10" s="3508"/>
      <c r="C10" s="3509"/>
      <c r="D10" s="3507" t="s">
        <v>4754</v>
      </c>
      <c r="E10" s="3508"/>
      <c r="F10" s="3508"/>
      <c r="G10" s="3508"/>
      <c r="H10" s="3508"/>
      <c r="I10" s="3509"/>
      <c r="L10" s="3486"/>
      <c r="M10" s="3481"/>
      <c r="N10" s="3108" t="s">
        <v>4762</v>
      </c>
      <c r="O10" s="3109">
        <v>2186.04</v>
      </c>
      <c r="P10" s="3109">
        <v>0</v>
      </c>
      <c r="Q10" s="3109">
        <v>2186.04</v>
      </c>
    </row>
    <row r="11" spans="1:17" ht="15.6" thickTop="1" thickBot="1">
      <c r="L11" s="3486"/>
      <c r="M11" s="3489" t="s">
        <v>4763</v>
      </c>
      <c r="N11" s="3490"/>
      <c r="O11" s="3109">
        <v>144619.03</v>
      </c>
      <c r="P11" s="3109">
        <v>73011.360000000001</v>
      </c>
      <c r="Q11" s="3109">
        <v>71607.67</v>
      </c>
    </row>
    <row r="12" spans="1:17" ht="15" thickBot="1">
      <c r="L12" s="3486"/>
      <c r="M12" s="3480" t="s">
        <v>4764</v>
      </c>
      <c r="N12" s="3108" t="s">
        <v>4765</v>
      </c>
      <c r="O12" s="3109">
        <v>2623.22</v>
      </c>
      <c r="P12" s="3109">
        <v>582.84</v>
      </c>
      <c r="Q12" s="3109">
        <v>2040.38</v>
      </c>
    </row>
    <row r="13" spans="1:17" ht="15" thickBot="1">
      <c r="L13" s="3486"/>
      <c r="M13" s="3481"/>
      <c r="N13" s="3108" t="s">
        <v>4766</v>
      </c>
      <c r="O13" s="3109">
        <v>2004.7</v>
      </c>
      <c r="P13" s="3109">
        <v>1938</v>
      </c>
      <c r="Q13" s="3109">
        <v>66.7</v>
      </c>
    </row>
    <row r="14" spans="1:17" ht="15" thickBot="1">
      <c r="L14" s="3486"/>
      <c r="M14" s="3489" t="s">
        <v>4767</v>
      </c>
      <c r="N14" s="3490"/>
      <c r="O14" s="3109">
        <v>4627.92</v>
      </c>
      <c r="P14" s="3109">
        <v>2520.84</v>
      </c>
      <c r="Q14" s="3109">
        <v>2107.08</v>
      </c>
    </row>
    <row r="15" spans="1:17" ht="15" thickBot="1">
      <c r="L15" s="3487"/>
      <c r="M15" s="3491" t="s">
        <v>4768</v>
      </c>
      <c r="N15" s="3492"/>
      <c r="O15" s="3110">
        <v>149246.95000000001</v>
      </c>
      <c r="P15" s="3110">
        <v>75532.2</v>
      </c>
      <c r="Q15" s="3110">
        <v>73714.75</v>
      </c>
    </row>
    <row r="16" spans="1:17" ht="15" thickBot="1">
      <c r="L16" s="3485" t="s">
        <v>4769</v>
      </c>
      <c r="M16" s="3480" t="s">
        <v>4759</v>
      </c>
      <c r="N16" s="3108" t="s">
        <v>4472</v>
      </c>
      <c r="O16" s="3109">
        <v>37366.44</v>
      </c>
      <c r="P16" s="3109">
        <v>37366.44</v>
      </c>
      <c r="Q16" s="3109">
        <v>0</v>
      </c>
    </row>
    <row r="17" spans="4:17" ht="15" thickBot="1">
      <c r="L17" s="3486"/>
      <c r="M17" s="3488"/>
      <c r="N17" s="3108" t="s">
        <v>4713</v>
      </c>
      <c r="O17" s="3109">
        <v>3473.18</v>
      </c>
      <c r="P17" s="3109">
        <v>3473.18</v>
      </c>
      <c r="Q17" s="3109">
        <v>0</v>
      </c>
    </row>
    <row r="18" spans="4:17" ht="15" thickBot="1">
      <c r="L18" s="3486"/>
      <c r="M18" s="3488"/>
      <c r="N18" s="3108" t="s">
        <v>3211</v>
      </c>
      <c r="O18" s="3109">
        <v>23770.38</v>
      </c>
      <c r="P18" s="3109">
        <v>23770.38</v>
      </c>
      <c r="Q18" s="3109">
        <v>0</v>
      </c>
    </row>
    <row r="19" spans="4:17" ht="15" thickBot="1">
      <c r="L19" s="3486"/>
      <c r="M19" s="3488"/>
      <c r="N19" s="3108" t="s">
        <v>48</v>
      </c>
      <c r="O19" s="3109">
        <v>26123.5</v>
      </c>
      <c r="P19" s="3109">
        <v>0</v>
      </c>
      <c r="Q19" s="3109">
        <v>26123.5</v>
      </c>
    </row>
    <row r="20" spans="4:17" ht="15" thickBot="1">
      <c r="L20" s="3486"/>
      <c r="M20" s="3488"/>
      <c r="N20" s="3108" t="s">
        <v>4770</v>
      </c>
      <c r="O20" s="3109">
        <v>5874.31</v>
      </c>
      <c r="P20" s="3109">
        <v>0</v>
      </c>
      <c r="Q20" s="3109">
        <v>5874.31</v>
      </c>
    </row>
    <row r="21" spans="4:17" ht="15" thickBot="1">
      <c r="L21" s="3486"/>
      <c r="M21" s="3481"/>
      <c r="N21" s="3108" t="s">
        <v>4771</v>
      </c>
      <c r="O21" s="3109">
        <v>59454.19</v>
      </c>
      <c r="P21" s="3109">
        <v>0</v>
      </c>
      <c r="Q21" s="3109">
        <v>59454.19</v>
      </c>
    </row>
    <row r="22" spans="4:17" ht="15" thickBot="1">
      <c r="L22" s="3486"/>
      <c r="M22" s="3489" t="s">
        <v>4772</v>
      </c>
      <c r="N22" s="3490"/>
      <c r="O22" s="3109">
        <v>156062</v>
      </c>
      <c r="P22" s="3109">
        <v>64610</v>
      </c>
      <c r="Q22" s="3109">
        <v>91452</v>
      </c>
    </row>
    <row r="23" spans="4:17" ht="15" thickBot="1">
      <c r="L23" s="3486"/>
      <c r="M23" s="3480" t="s">
        <v>4764</v>
      </c>
      <c r="N23" s="3108" t="s">
        <v>4765</v>
      </c>
      <c r="O23" s="3109">
        <v>12764</v>
      </c>
      <c r="P23" s="3109">
        <v>84</v>
      </c>
      <c r="Q23" s="3109">
        <v>12680</v>
      </c>
    </row>
    <row r="24" spans="4:17" ht="15" thickBot="1">
      <c r="L24" s="3486"/>
      <c r="M24" s="3481"/>
      <c r="N24" s="3108" t="s">
        <v>4766</v>
      </c>
      <c r="O24" s="3109">
        <v>990</v>
      </c>
      <c r="P24" s="3109">
        <v>0</v>
      </c>
      <c r="Q24" s="3109">
        <v>990</v>
      </c>
    </row>
    <row r="25" spans="4:17" ht="15" thickBot="1">
      <c r="L25" s="3486"/>
      <c r="M25" s="3489" t="s">
        <v>4773</v>
      </c>
      <c r="N25" s="3490"/>
      <c r="O25" s="3109">
        <v>13754</v>
      </c>
      <c r="P25" s="3109">
        <v>84</v>
      </c>
      <c r="Q25" s="3109">
        <v>13670</v>
      </c>
    </row>
    <row r="26" spans="4:17" ht="15" thickBot="1">
      <c r="L26" s="3487"/>
      <c r="M26" s="3491" t="s">
        <v>4774</v>
      </c>
      <c r="N26" s="3492"/>
      <c r="O26" s="3110">
        <v>169816</v>
      </c>
      <c r="P26" s="3110">
        <v>64694</v>
      </c>
      <c r="Q26" s="3110">
        <v>105122</v>
      </c>
    </row>
    <row r="27" spans="4:17" ht="15" thickBot="1">
      <c r="L27" s="3477" t="s">
        <v>4775</v>
      </c>
      <c r="M27" s="3478"/>
      <c r="N27" s="3479"/>
      <c r="O27" s="3110">
        <f>O15+O26</f>
        <v>319062.95</v>
      </c>
      <c r="P27" s="3110">
        <f>P15+P26</f>
        <v>140226.20000000001</v>
      </c>
      <c r="Q27" s="3110">
        <f>Q15+Q26</f>
        <v>178836.75</v>
      </c>
    </row>
    <row r="29" spans="4:17" ht="15" thickBot="1"/>
    <row r="30" spans="4:17" ht="15" thickBot="1">
      <c r="D30" s="3480" t="s">
        <v>4785</v>
      </c>
      <c r="E30" s="3480" t="s">
        <v>4786</v>
      </c>
      <c r="F30" s="3480" t="s">
        <v>4777</v>
      </c>
      <c r="G30" s="3482" t="s">
        <v>4778</v>
      </c>
      <c r="H30" s="3483"/>
      <c r="I30" s="3484"/>
      <c r="J30" s="3482" t="s">
        <v>4779</v>
      </c>
      <c r="K30" s="3483"/>
      <c r="L30" s="3483"/>
      <c r="M30" s="3484"/>
      <c r="N30" s="3475" t="s">
        <v>3084</v>
      </c>
      <c r="O30" s="3475" t="s">
        <v>3085</v>
      </c>
      <c r="P30" s="3475" t="s">
        <v>3087</v>
      </c>
    </row>
    <row r="31" spans="4:17" ht="25.8" thickBot="1">
      <c r="D31" s="3481"/>
      <c r="E31" s="3481"/>
      <c r="F31" s="3481"/>
      <c r="G31" s="3108" t="s">
        <v>3080</v>
      </c>
      <c r="H31" s="3108" t="s">
        <v>1372</v>
      </c>
      <c r="I31" s="3111" t="s">
        <v>4780</v>
      </c>
      <c r="J31" s="3108" t="s">
        <v>4781</v>
      </c>
      <c r="K31" s="3111" t="s">
        <v>4782</v>
      </c>
      <c r="L31" s="3111" t="s">
        <v>4783</v>
      </c>
      <c r="M31" s="3111" t="s">
        <v>4784</v>
      </c>
      <c r="N31" s="3476"/>
      <c r="O31" s="3476"/>
      <c r="P31" s="3476"/>
    </row>
    <row r="32" spans="4:17" ht="15" hidden="1" thickBot="1">
      <c r="D32" s="3113" t="s">
        <v>3092</v>
      </c>
      <c r="E32" s="3108" t="s">
        <v>4787</v>
      </c>
      <c r="F32" s="3109">
        <v>817.74</v>
      </c>
      <c r="G32" s="3109">
        <v>282.56</v>
      </c>
      <c r="H32" s="3109">
        <v>0</v>
      </c>
      <c r="I32" s="3119">
        <v>0</v>
      </c>
      <c r="J32" s="3109">
        <v>535.17999999999995</v>
      </c>
      <c r="K32" s="3119">
        <v>0</v>
      </c>
      <c r="L32" s="3119">
        <v>0</v>
      </c>
      <c r="M32" s="3119">
        <v>0</v>
      </c>
      <c r="N32" s="3119">
        <v>2</v>
      </c>
      <c r="O32" s="3119">
        <v>3</v>
      </c>
      <c r="P32" s="3119">
        <v>2</v>
      </c>
    </row>
    <row r="33" spans="4:16" ht="15" hidden="1" thickBot="1">
      <c r="D33" s="3113" t="s">
        <v>3096</v>
      </c>
      <c r="E33" s="3108" t="s">
        <v>4787</v>
      </c>
      <c r="F33" s="3109">
        <v>817.45</v>
      </c>
      <c r="G33" s="3109">
        <v>282.56</v>
      </c>
      <c r="H33" s="3109">
        <v>0</v>
      </c>
      <c r="I33" s="3119">
        <v>0</v>
      </c>
      <c r="J33" s="3109">
        <v>534.89</v>
      </c>
      <c r="K33" s="3119">
        <v>0</v>
      </c>
      <c r="L33" s="3119">
        <v>0</v>
      </c>
      <c r="M33" s="3119">
        <v>0</v>
      </c>
      <c r="N33" s="3119">
        <v>2</v>
      </c>
      <c r="O33" s="3119">
        <v>3</v>
      </c>
      <c r="P33" s="3119">
        <v>2</v>
      </c>
    </row>
    <row r="34" spans="4:16" ht="15" hidden="1" thickBot="1">
      <c r="D34" s="3113" t="s">
        <v>3098</v>
      </c>
      <c r="E34" s="3108" t="s">
        <v>4787</v>
      </c>
      <c r="F34" s="3109">
        <v>1215.04</v>
      </c>
      <c r="G34" s="3109">
        <v>435.56</v>
      </c>
      <c r="H34" s="3109">
        <v>0</v>
      </c>
      <c r="I34" s="3119">
        <v>0</v>
      </c>
      <c r="J34" s="3109">
        <v>779.48</v>
      </c>
      <c r="K34" s="3119">
        <v>0</v>
      </c>
      <c r="L34" s="3119">
        <v>0</v>
      </c>
      <c r="M34" s="3119">
        <v>0</v>
      </c>
      <c r="N34" s="3119">
        <v>2</v>
      </c>
      <c r="O34" s="3119">
        <v>3</v>
      </c>
      <c r="P34" s="3119">
        <v>4</v>
      </c>
    </row>
    <row r="35" spans="4:16" ht="15" hidden="1" thickBot="1">
      <c r="D35" s="3113" t="s">
        <v>3100</v>
      </c>
      <c r="E35" s="3108" t="s">
        <v>4787</v>
      </c>
      <c r="F35" s="3109">
        <v>1815.68</v>
      </c>
      <c r="G35" s="3109">
        <v>652.01</v>
      </c>
      <c r="H35" s="3109">
        <v>0</v>
      </c>
      <c r="I35" s="3119">
        <v>0</v>
      </c>
      <c r="J35" s="3109">
        <v>1163.67</v>
      </c>
      <c r="K35" s="3119">
        <v>0</v>
      </c>
      <c r="L35" s="3119">
        <v>0</v>
      </c>
      <c r="M35" s="3119">
        <v>0</v>
      </c>
      <c r="N35" s="3119">
        <v>2</v>
      </c>
      <c r="O35" s="3119">
        <v>3</v>
      </c>
      <c r="P35" s="3119">
        <v>6</v>
      </c>
    </row>
    <row r="36" spans="4:16" ht="15" hidden="1" thickBot="1">
      <c r="D36" s="3113" t="s">
        <v>3101</v>
      </c>
      <c r="E36" s="3108" t="s">
        <v>4787</v>
      </c>
      <c r="F36" s="3109">
        <v>1816.24</v>
      </c>
      <c r="G36" s="3109">
        <v>652.01</v>
      </c>
      <c r="H36" s="3109">
        <v>0</v>
      </c>
      <c r="I36" s="3119">
        <v>0</v>
      </c>
      <c r="J36" s="3109">
        <v>1164.23</v>
      </c>
      <c r="K36" s="3119">
        <v>0</v>
      </c>
      <c r="L36" s="3119">
        <v>0</v>
      </c>
      <c r="M36" s="3119">
        <v>0</v>
      </c>
      <c r="N36" s="3119">
        <v>2</v>
      </c>
      <c r="O36" s="3119">
        <v>3</v>
      </c>
      <c r="P36" s="3119">
        <v>6</v>
      </c>
    </row>
    <row r="37" spans="4:16" ht="15" hidden="1" thickBot="1">
      <c r="D37" s="3113" t="s">
        <v>3103</v>
      </c>
      <c r="E37" s="3108" t="s">
        <v>4787</v>
      </c>
      <c r="F37" s="3109">
        <v>1215.04</v>
      </c>
      <c r="G37" s="3109">
        <v>435.56</v>
      </c>
      <c r="H37" s="3109">
        <v>0</v>
      </c>
      <c r="I37" s="3119">
        <v>0</v>
      </c>
      <c r="J37" s="3109">
        <v>779.48</v>
      </c>
      <c r="K37" s="3119">
        <v>0</v>
      </c>
      <c r="L37" s="3119">
        <v>0</v>
      </c>
      <c r="M37" s="3119">
        <v>0</v>
      </c>
      <c r="N37" s="3119">
        <v>2</v>
      </c>
      <c r="O37" s="3119">
        <v>3</v>
      </c>
      <c r="P37" s="3119">
        <v>4</v>
      </c>
    </row>
    <row r="38" spans="4:16" ht="15" hidden="1" thickBot="1">
      <c r="D38" s="3113" t="s">
        <v>3105</v>
      </c>
      <c r="E38" s="3108" t="s">
        <v>4787</v>
      </c>
      <c r="F38" s="3109">
        <v>1817.98</v>
      </c>
      <c r="G38" s="3109">
        <v>652.01</v>
      </c>
      <c r="H38" s="3109">
        <v>0</v>
      </c>
      <c r="I38" s="3119">
        <v>0</v>
      </c>
      <c r="J38" s="3109">
        <v>1165.97</v>
      </c>
      <c r="K38" s="3119">
        <v>0</v>
      </c>
      <c r="L38" s="3119">
        <v>0</v>
      </c>
      <c r="M38" s="3119">
        <v>0</v>
      </c>
      <c r="N38" s="3119">
        <v>2</v>
      </c>
      <c r="O38" s="3119">
        <v>3</v>
      </c>
      <c r="P38" s="3119">
        <v>6</v>
      </c>
    </row>
    <row r="39" spans="4:16" ht="15" hidden="1" thickBot="1">
      <c r="D39" s="3113" t="s">
        <v>3107</v>
      </c>
      <c r="E39" s="3108" t="s">
        <v>4787</v>
      </c>
      <c r="F39" s="3109">
        <v>1213.94</v>
      </c>
      <c r="G39" s="3109">
        <v>435.56</v>
      </c>
      <c r="H39" s="3109">
        <v>0</v>
      </c>
      <c r="I39" s="3119">
        <v>0</v>
      </c>
      <c r="J39" s="3109">
        <v>778.38</v>
      </c>
      <c r="K39" s="3119">
        <v>0</v>
      </c>
      <c r="L39" s="3119">
        <v>0</v>
      </c>
      <c r="M39" s="3119">
        <v>0</v>
      </c>
      <c r="N39" s="3119">
        <v>2</v>
      </c>
      <c r="O39" s="3119">
        <v>3</v>
      </c>
      <c r="P39" s="3119">
        <v>4</v>
      </c>
    </row>
    <row r="40" spans="4:16" ht="15" hidden="1" thickBot="1">
      <c r="D40" s="3113" t="s">
        <v>3109</v>
      </c>
      <c r="E40" s="3108" t="s">
        <v>4787</v>
      </c>
      <c r="F40" s="3109">
        <v>1213.94</v>
      </c>
      <c r="G40" s="3109">
        <v>435.56</v>
      </c>
      <c r="H40" s="3109">
        <v>0</v>
      </c>
      <c r="I40" s="3119">
        <v>0</v>
      </c>
      <c r="J40" s="3109">
        <v>778.38</v>
      </c>
      <c r="K40" s="3119">
        <v>0</v>
      </c>
      <c r="L40" s="3119">
        <v>0</v>
      </c>
      <c r="M40" s="3119">
        <v>0</v>
      </c>
      <c r="N40" s="3119">
        <v>2</v>
      </c>
      <c r="O40" s="3119">
        <v>3</v>
      </c>
      <c r="P40" s="3119">
        <v>4</v>
      </c>
    </row>
    <row r="41" spans="4:16" ht="15" hidden="1" thickBot="1">
      <c r="D41" s="3113" t="s">
        <v>3110</v>
      </c>
      <c r="E41" s="3108" t="s">
        <v>4787</v>
      </c>
      <c r="F41" s="3109">
        <v>1817.92</v>
      </c>
      <c r="G41" s="3109">
        <v>652.01</v>
      </c>
      <c r="H41" s="3109">
        <v>0</v>
      </c>
      <c r="I41" s="3119">
        <v>0</v>
      </c>
      <c r="J41" s="3109">
        <v>1165.9100000000001</v>
      </c>
      <c r="K41" s="3119">
        <v>0</v>
      </c>
      <c r="L41" s="3119">
        <v>0</v>
      </c>
      <c r="M41" s="3119">
        <v>0</v>
      </c>
      <c r="N41" s="3119">
        <v>2</v>
      </c>
      <c r="O41" s="3119">
        <v>3</v>
      </c>
      <c r="P41" s="3119">
        <v>6</v>
      </c>
    </row>
    <row r="42" spans="4:16" ht="15" hidden="1" thickBot="1">
      <c r="D42" s="3113" t="s">
        <v>3111</v>
      </c>
      <c r="E42" s="3108" t="s">
        <v>4787</v>
      </c>
      <c r="F42" s="3109">
        <v>1817.96</v>
      </c>
      <c r="G42" s="3109">
        <v>652.01</v>
      </c>
      <c r="H42" s="3109">
        <v>0</v>
      </c>
      <c r="I42" s="3119">
        <v>0</v>
      </c>
      <c r="J42" s="3109">
        <v>1165.95</v>
      </c>
      <c r="K42" s="3119">
        <v>0</v>
      </c>
      <c r="L42" s="3119">
        <v>0</v>
      </c>
      <c r="M42" s="3119">
        <v>0</v>
      </c>
      <c r="N42" s="3119">
        <v>2</v>
      </c>
      <c r="O42" s="3119">
        <v>3</v>
      </c>
      <c r="P42" s="3119">
        <v>6</v>
      </c>
    </row>
    <row r="43" spans="4:16" ht="15" hidden="1" thickBot="1">
      <c r="D43" s="3113" t="s">
        <v>3112</v>
      </c>
      <c r="E43" s="3108" t="s">
        <v>4787</v>
      </c>
      <c r="F43" s="3109">
        <v>1213.94</v>
      </c>
      <c r="G43" s="3109">
        <v>435.56</v>
      </c>
      <c r="H43" s="3109">
        <v>0</v>
      </c>
      <c r="I43" s="3119">
        <v>0</v>
      </c>
      <c r="J43" s="3109">
        <v>778.38</v>
      </c>
      <c r="K43" s="3119">
        <v>0</v>
      </c>
      <c r="L43" s="3119">
        <v>0</v>
      </c>
      <c r="M43" s="3119">
        <v>0</v>
      </c>
      <c r="N43" s="3119">
        <v>2</v>
      </c>
      <c r="O43" s="3119">
        <v>3</v>
      </c>
      <c r="P43" s="3119">
        <v>4</v>
      </c>
    </row>
    <row r="44" spans="4:16" ht="15" hidden="1" thickBot="1">
      <c r="D44" s="3113" t="s">
        <v>3113</v>
      </c>
      <c r="E44" s="3108" t="s">
        <v>4787</v>
      </c>
      <c r="F44" s="3109">
        <v>1816.88</v>
      </c>
      <c r="G44" s="3109">
        <v>652.01</v>
      </c>
      <c r="H44" s="3109">
        <v>0</v>
      </c>
      <c r="I44" s="3119">
        <v>0</v>
      </c>
      <c r="J44" s="3109">
        <v>1164.8699999999999</v>
      </c>
      <c r="K44" s="3119">
        <v>0</v>
      </c>
      <c r="L44" s="3119">
        <v>0</v>
      </c>
      <c r="M44" s="3119">
        <v>0</v>
      </c>
      <c r="N44" s="3119">
        <v>2</v>
      </c>
      <c r="O44" s="3119">
        <v>3</v>
      </c>
      <c r="P44" s="3119">
        <v>6</v>
      </c>
    </row>
    <row r="45" spans="4:16" ht="15" hidden="1" thickBot="1">
      <c r="D45" s="3113" t="s">
        <v>3114</v>
      </c>
      <c r="E45" s="3108" t="s">
        <v>4787</v>
      </c>
      <c r="F45" s="3109">
        <v>1215.04</v>
      </c>
      <c r="G45" s="3109">
        <v>435.56</v>
      </c>
      <c r="H45" s="3109">
        <v>0</v>
      </c>
      <c r="I45" s="3119">
        <v>0</v>
      </c>
      <c r="J45" s="3109">
        <v>779.48</v>
      </c>
      <c r="K45" s="3119">
        <v>0</v>
      </c>
      <c r="L45" s="3119">
        <v>0</v>
      </c>
      <c r="M45" s="3119">
        <v>0</v>
      </c>
      <c r="N45" s="3119">
        <v>2</v>
      </c>
      <c r="O45" s="3119">
        <v>3</v>
      </c>
      <c r="P45" s="3119">
        <v>4</v>
      </c>
    </row>
    <row r="46" spans="4:16" ht="15" hidden="1" thickBot="1">
      <c r="D46" s="3113" t="s">
        <v>3115</v>
      </c>
      <c r="E46" s="3108" t="s">
        <v>4787</v>
      </c>
      <c r="F46" s="3109">
        <v>622.58000000000004</v>
      </c>
      <c r="G46" s="3109">
        <v>225.49</v>
      </c>
      <c r="H46" s="3109">
        <v>0</v>
      </c>
      <c r="I46" s="3119">
        <v>0</v>
      </c>
      <c r="J46" s="3109">
        <v>397.09</v>
      </c>
      <c r="K46" s="3119">
        <v>0</v>
      </c>
      <c r="L46" s="3119">
        <v>0</v>
      </c>
      <c r="M46" s="3119">
        <v>0</v>
      </c>
      <c r="N46" s="3119">
        <v>2</v>
      </c>
      <c r="O46" s="3119">
        <v>3</v>
      </c>
      <c r="P46" s="3119">
        <v>2</v>
      </c>
    </row>
    <row r="47" spans="4:16" ht="15" hidden="1" thickBot="1">
      <c r="D47" s="3113" t="s">
        <v>3116</v>
      </c>
      <c r="E47" s="3108" t="s">
        <v>4787</v>
      </c>
      <c r="F47" s="3109">
        <v>935.79</v>
      </c>
      <c r="G47" s="3109">
        <v>337.54</v>
      </c>
      <c r="H47" s="3109">
        <v>0</v>
      </c>
      <c r="I47" s="3119">
        <v>0</v>
      </c>
      <c r="J47" s="3109">
        <v>598.25</v>
      </c>
      <c r="K47" s="3119">
        <v>0</v>
      </c>
      <c r="L47" s="3119">
        <v>0</v>
      </c>
      <c r="M47" s="3119">
        <v>0</v>
      </c>
      <c r="N47" s="3119">
        <v>2</v>
      </c>
      <c r="O47" s="3119">
        <v>3</v>
      </c>
      <c r="P47" s="3119">
        <v>3</v>
      </c>
    </row>
    <row r="48" spans="4:16" ht="15" hidden="1" thickBot="1">
      <c r="D48" s="3113" t="s">
        <v>3117</v>
      </c>
      <c r="E48" s="3108" t="s">
        <v>4787</v>
      </c>
      <c r="F48" s="3109">
        <v>1816.88</v>
      </c>
      <c r="G48" s="3109">
        <v>652.01</v>
      </c>
      <c r="H48" s="3109">
        <v>0</v>
      </c>
      <c r="I48" s="3119">
        <v>0</v>
      </c>
      <c r="J48" s="3109">
        <v>1164.8699999999999</v>
      </c>
      <c r="K48" s="3119">
        <v>0</v>
      </c>
      <c r="L48" s="3119">
        <v>0</v>
      </c>
      <c r="M48" s="3119">
        <v>0</v>
      </c>
      <c r="N48" s="3119">
        <v>2</v>
      </c>
      <c r="O48" s="3119">
        <v>3</v>
      </c>
      <c r="P48" s="3119">
        <v>6</v>
      </c>
    </row>
    <row r="49" spans="4:16" ht="15" hidden="1" thickBot="1">
      <c r="D49" s="3113" t="s">
        <v>3118</v>
      </c>
      <c r="E49" s="3108" t="s">
        <v>4787</v>
      </c>
      <c r="F49" s="3109">
        <v>1215.04</v>
      </c>
      <c r="G49" s="3109">
        <v>435.56</v>
      </c>
      <c r="H49" s="3109">
        <v>0</v>
      </c>
      <c r="I49" s="3119">
        <v>0</v>
      </c>
      <c r="J49" s="3109">
        <v>779.48</v>
      </c>
      <c r="K49" s="3119">
        <v>0</v>
      </c>
      <c r="L49" s="3119">
        <v>0</v>
      </c>
      <c r="M49" s="3119">
        <v>0</v>
      </c>
      <c r="N49" s="3119">
        <v>2</v>
      </c>
      <c r="O49" s="3119">
        <v>3</v>
      </c>
      <c r="P49" s="3119">
        <v>4</v>
      </c>
    </row>
    <row r="50" spans="4:16" ht="15" hidden="1" thickBot="1">
      <c r="D50" s="3113" t="s">
        <v>3119</v>
      </c>
      <c r="E50" s="3108" t="s">
        <v>4787</v>
      </c>
      <c r="F50" s="3109">
        <v>1817.96</v>
      </c>
      <c r="G50" s="3109">
        <v>652.01</v>
      </c>
      <c r="H50" s="3109">
        <v>0</v>
      </c>
      <c r="I50" s="3119">
        <v>0</v>
      </c>
      <c r="J50" s="3109">
        <v>1165.95</v>
      </c>
      <c r="K50" s="3119">
        <v>0</v>
      </c>
      <c r="L50" s="3119">
        <v>0</v>
      </c>
      <c r="M50" s="3119">
        <v>0</v>
      </c>
      <c r="N50" s="3119">
        <v>2</v>
      </c>
      <c r="O50" s="3119">
        <v>3</v>
      </c>
      <c r="P50" s="3119">
        <v>6</v>
      </c>
    </row>
    <row r="51" spans="4:16" ht="15" hidden="1" thickBot="1">
      <c r="D51" s="3113" t="s">
        <v>3120</v>
      </c>
      <c r="E51" s="3108" t="s">
        <v>4787</v>
      </c>
      <c r="F51" s="3109">
        <v>1213.4000000000001</v>
      </c>
      <c r="G51" s="3109">
        <v>435.56</v>
      </c>
      <c r="H51" s="3109">
        <v>0</v>
      </c>
      <c r="I51" s="3119">
        <v>0</v>
      </c>
      <c r="J51" s="3109">
        <v>777.84</v>
      </c>
      <c r="K51" s="3119">
        <v>0</v>
      </c>
      <c r="L51" s="3119">
        <v>0</v>
      </c>
      <c r="M51" s="3119">
        <v>0</v>
      </c>
      <c r="N51" s="3119">
        <v>2</v>
      </c>
      <c r="O51" s="3119">
        <v>3</v>
      </c>
      <c r="P51" s="3119">
        <v>4</v>
      </c>
    </row>
    <row r="52" spans="4:16" ht="15" hidden="1" thickBot="1">
      <c r="D52" s="3113" t="s">
        <v>3121</v>
      </c>
      <c r="E52" s="3108" t="s">
        <v>4787</v>
      </c>
      <c r="F52" s="3109">
        <v>1213.94</v>
      </c>
      <c r="G52" s="3109">
        <v>435.56</v>
      </c>
      <c r="H52" s="3109">
        <v>0</v>
      </c>
      <c r="I52" s="3119">
        <v>0</v>
      </c>
      <c r="J52" s="3109">
        <v>778.38</v>
      </c>
      <c r="K52" s="3119">
        <v>0</v>
      </c>
      <c r="L52" s="3119">
        <v>0</v>
      </c>
      <c r="M52" s="3119">
        <v>0</v>
      </c>
      <c r="N52" s="3119">
        <v>2</v>
      </c>
      <c r="O52" s="3119">
        <v>3</v>
      </c>
      <c r="P52" s="3119">
        <v>4</v>
      </c>
    </row>
    <row r="53" spans="4:16" ht="15" hidden="1" thickBot="1">
      <c r="D53" s="3113" t="s">
        <v>3122</v>
      </c>
      <c r="E53" s="3108" t="s">
        <v>4787</v>
      </c>
      <c r="F53" s="3109">
        <v>1817.98</v>
      </c>
      <c r="G53" s="3109">
        <v>652.01</v>
      </c>
      <c r="H53" s="3109">
        <v>0</v>
      </c>
      <c r="I53" s="3119">
        <v>0</v>
      </c>
      <c r="J53" s="3109">
        <v>1165.97</v>
      </c>
      <c r="K53" s="3119">
        <v>0</v>
      </c>
      <c r="L53" s="3119">
        <v>0</v>
      </c>
      <c r="M53" s="3119">
        <v>0</v>
      </c>
      <c r="N53" s="3119">
        <v>2</v>
      </c>
      <c r="O53" s="3119">
        <v>3</v>
      </c>
      <c r="P53" s="3119">
        <v>6</v>
      </c>
    </row>
    <row r="54" spans="4:16" ht="15" hidden="1" thickBot="1">
      <c r="D54" s="3113" t="s">
        <v>3123</v>
      </c>
      <c r="E54" s="3108" t="s">
        <v>4787</v>
      </c>
      <c r="F54" s="3109">
        <v>1818.18</v>
      </c>
      <c r="G54" s="3109">
        <v>652.01</v>
      </c>
      <c r="H54" s="3109">
        <v>0</v>
      </c>
      <c r="I54" s="3119">
        <v>0</v>
      </c>
      <c r="J54" s="3109">
        <v>1166.17</v>
      </c>
      <c r="K54" s="3119">
        <v>0</v>
      </c>
      <c r="L54" s="3119">
        <v>0</v>
      </c>
      <c r="M54" s="3119">
        <v>0</v>
      </c>
      <c r="N54" s="3119">
        <v>2</v>
      </c>
      <c r="O54" s="3119">
        <v>3</v>
      </c>
      <c r="P54" s="3119">
        <v>6</v>
      </c>
    </row>
    <row r="55" spans="4:16" ht="15" hidden="1" thickBot="1">
      <c r="D55" s="3113" t="s">
        <v>3124</v>
      </c>
      <c r="E55" s="3108" t="s">
        <v>4787</v>
      </c>
      <c r="F55" s="3109">
        <v>1213.94</v>
      </c>
      <c r="G55" s="3109">
        <v>435.56</v>
      </c>
      <c r="H55" s="3109">
        <v>0</v>
      </c>
      <c r="I55" s="3119">
        <v>0</v>
      </c>
      <c r="J55" s="3109">
        <v>778.38</v>
      </c>
      <c r="K55" s="3119">
        <v>0</v>
      </c>
      <c r="L55" s="3119">
        <v>0</v>
      </c>
      <c r="M55" s="3119">
        <v>0</v>
      </c>
      <c r="N55" s="3119">
        <v>2</v>
      </c>
      <c r="O55" s="3119">
        <v>3</v>
      </c>
      <c r="P55" s="3119">
        <v>4</v>
      </c>
    </row>
    <row r="56" spans="4:16" ht="15" hidden="1" thickBot="1">
      <c r="D56" s="3113" t="s">
        <v>3125</v>
      </c>
      <c r="E56" s="3108" t="s">
        <v>4787</v>
      </c>
      <c r="F56" s="3109">
        <v>817.45</v>
      </c>
      <c r="G56" s="3109">
        <v>282.56</v>
      </c>
      <c r="H56" s="3109">
        <v>0</v>
      </c>
      <c r="I56" s="3119">
        <v>0</v>
      </c>
      <c r="J56" s="3109">
        <v>534.89</v>
      </c>
      <c r="K56" s="3119">
        <v>0</v>
      </c>
      <c r="L56" s="3119">
        <v>0</v>
      </c>
      <c r="M56" s="3119">
        <v>0</v>
      </c>
      <c r="N56" s="3119">
        <v>2</v>
      </c>
      <c r="O56" s="3119">
        <v>3</v>
      </c>
      <c r="P56" s="3119">
        <v>2</v>
      </c>
    </row>
    <row r="57" spans="4:16" ht="15" hidden="1" thickBot="1">
      <c r="D57" s="3113" t="s">
        <v>3126</v>
      </c>
      <c r="E57" s="3108" t="s">
        <v>4787</v>
      </c>
      <c r="F57" s="3109">
        <v>1629.12</v>
      </c>
      <c r="G57" s="3109">
        <v>563.59</v>
      </c>
      <c r="H57" s="3109">
        <v>0</v>
      </c>
      <c r="I57" s="3119">
        <v>0</v>
      </c>
      <c r="J57" s="3109">
        <v>1065.53</v>
      </c>
      <c r="K57" s="3119">
        <v>0</v>
      </c>
      <c r="L57" s="3119">
        <v>0</v>
      </c>
      <c r="M57" s="3119">
        <v>0</v>
      </c>
      <c r="N57" s="3119">
        <v>2</v>
      </c>
      <c r="O57" s="3119">
        <v>3</v>
      </c>
      <c r="P57" s="3119">
        <v>4</v>
      </c>
    </row>
    <row r="58" spans="4:16" ht="15" hidden="1" thickBot="1">
      <c r="D58" s="3113" t="s">
        <v>3127</v>
      </c>
      <c r="E58" s="3108" t="s">
        <v>4787</v>
      </c>
      <c r="F58" s="3109">
        <v>1815.68</v>
      </c>
      <c r="G58" s="3109">
        <v>652.01</v>
      </c>
      <c r="H58" s="3109">
        <v>0</v>
      </c>
      <c r="I58" s="3119">
        <v>0</v>
      </c>
      <c r="J58" s="3109">
        <v>1163.67</v>
      </c>
      <c r="K58" s="3119">
        <v>0</v>
      </c>
      <c r="L58" s="3119">
        <v>0</v>
      </c>
      <c r="M58" s="3119">
        <v>0</v>
      </c>
      <c r="N58" s="3119">
        <v>2</v>
      </c>
      <c r="O58" s="3119">
        <v>3</v>
      </c>
      <c r="P58" s="3119">
        <v>6</v>
      </c>
    </row>
    <row r="59" spans="4:16" ht="15" hidden="1" thickBot="1">
      <c r="D59" s="3113" t="s">
        <v>3128</v>
      </c>
      <c r="E59" s="3108" t="s">
        <v>4787</v>
      </c>
      <c r="F59" s="3109">
        <v>1816.88</v>
      </c>
      <c r="G59" s="3109">
        <v>652.01</v>
      </c>
      <c r="H59" s="3109">
        <v>0</v>
      </c>
      <c r="I59" s="3119">
        <v>0</v>
      </c>
      <c r="J59" s="3109">
        <v>1164.8699999999999</v>
      </c>
      <c r="K59" s="3119">
        <v>0</v>
      </c>
      <c r="L59" s="3119">
        <v>0</v>
      </c>
      <c r="M59" s="3119">
        <v>0</v>
      </c>
      <c r="N59" s="3119">
        <v>2</v>
      </c>
      <c r="O59" s="3119">
        <v>3</v>
      </c>
      <c r="P59" s="3119">
        <v>6</v>
      </c>
    </row>
    <row r="60" spans="4:16" ht="15" hidden="1" thickBot="1">
      <c r="D60" s="3113" t="s">
        <v>3129</v>
      </c>
      <c r="E60" s="3108" t="s">
        <v>4787</v>
      </c>
      <c r="F60" s="3109">
        <v>931.22</v>
      </c>
      <c r="G60" s="3109">
        <v>337.54</v>
      </c>
      <c r="H60" s="3109">
        <v>0</v>
      </c>
      <c r="I60" s="3119">
        <v>0</v>
      </c>
      <c r="J60" s="3109">
        <v>593.67999999999995</v>
      </c>
      <c r="K60" s="3119">
        <v>0</v>
      </c>
      <c r="L60" s="3119">
        <v>0</v>
      </c>
      <c r="M60" s="3119">
        <v>0</v>
      </c>
      <c r="N60" s="3119">
        <v>2</v>
      </c>
      <c r="O60" s="3119">
        <v>3</v>
      </c>
      <c r="P60" s="3119">
        <v>3</v>
      </c>
    </row>
    <row r="61" spans="4:16" ht="15" hidden="1" thickBot="1">
      <c r="D61" s="3113" t="s">
        <v>3130</v>
      </c>
      <c r="E61" s="3108" t="s">
        <v>4787</v>
      </c>
      <c r="F61" s="3109">
        <v>930.61</v>
      </c>
      <c r="G61" s="3109">
        <v>337.54</v>
      </c>
      <c r="H61" s="3109">
        <v>0</v>
      </c>
      <c r="I61" s="3119">
        <v>0</v>
      </c>
      <c r="J61" s="3109">
        <v>593.07000000000005</v>
      </c>
      <c r="K61" s="3119">
        <v>0</v>
      </c>
      <c r="L61" s="3119">
        <v>0</v>
      </c>
      <c r="M61" s="3119">
        <v>0</v>
      </c>
      <c r="N61" s="3119">
        <v>2</v>
      </c>
      <c r="O61" s="3119">
        <v>3</v>
      </c>
      <c r="P61" s="3119">
        <v>3</v>
      </c>
    </row>
    <row r="62" spans="4:16" ht="15" hidden="1" thickBot="1">
      <c r="D62" s="3113" t="s">
        <v>3131</v>
      </c>
      <c r="E62" s="3108" t="s">
        <v>4787</v>
      </c>
      <c r="F62" s="3109">
        <v>1816.88</v>
      </c>
      <c r="G62" s="3109">
        <v>652.01</v>
      </c>
      <c r="H62" s="3109">
        <v>0</v>
      </c>
      <c r="I62" s="3119">
        <v>0</v>
      </c>
      <c r="J62" s="3109">
        <v>1164.8699999999999</v>
      </c>
      <c r="K62" s="3119">
        <v>0</v>
      </c>
      <c r="L62" s="3119">
        <v>0</v>
      </c>
      <c r="M62" s="3119">
        <v>0</v>
      </c>
      <c r="N62" s="3119">
        <v>2</v>
      </c>
      <c r="O62" s="3119">
        <v>3</v>
      </c>
      <c r="P62" s="3119">
        <v>6</v>
      </c>
    </row>
    <row r="63" spans="4:16" ht="15" hidden="1" thickBot="1">
      <c r="D63" s="3113" t="s">
        <v>3132</v>
      </c>
      <c r="E63" s="3108" t="s">
        <v>4787</v>
      </c>
      <c r="F63" s="3109">
        <v>1816.32</v>
      </c>
      <c r="G63" s="3109">
        <v>652.01</v>
      </c>
      <c r="H63" s="3109">
        <v>0</v>
      </c>
      <c r="I63" s="3119">
        <v>0</v>
      </c>
      <c r="J63" s="3109">
        <v>1164.31</v>
      </c>
      <c r="K63" s="3119">
        <v>0</v>
      </c>
      <c r="L63" s="3119">
        <v>0</v>
      </c>
      <c r="M63" s="3119">
        <v>0</v>
      </c>
      <c r="N63" s="3119">
        <v>2</v>
      </c>
      <c r="O63" s="3119">
        <v>3</v>
      </c>
      <c r="P63" s="3119">
        <v>6</v>
      </c>
    </row>
    <row r="64" spans="4:16" ht="15" hidden="1" thickBot="1">
      <c r="D64" s="3113" t="s">
        <v>3133</v>
      </c>
      <c r="E64" s="3108" t="s">
        <v>4787</v>
      </c>
      <c r="F64" s="3109">
        <v>1816.04</v>
      </c>
      <c r="G64" s="3109">
        <v>652.01</v>
      </c>
      <c r="H64" s="3109">
        <v>0</v>
      </c>
      <c r="I64" s="3119">
        <v>0</v>
      </c>
      <c r="J64" s="3109">
        <v>1164.03</v>
      </c>
      <c r="K64" s="3119">
        <v>0</v>
      </c>
      <c r="L64" s="3119">
        <v>0</v>
      </c>
      <c r="M64" s="3119">
        <v>0</v>
      </c>
      <c r="N64" s="3119">
        <v>2</v>
      </c>
      <c r="O64" s="3119">
        <v>3</v>
      </c>
      <c r="P64" s="3119">
        <v>6</v>
      </c>
    </row>
    <row r="65" spans="4:16" ht="15" hidden="1" thickBot="1">
      <c r="D65" s="3113" t="s">
        <v>3134</v>
      </c>
      <c r="E65" s="3108" t="s">
        <v>4787</v>
      </c>
      <c r="F65" s="3109">
        <v>1525.08</v>
      </c>
      <c r="G65" s="3109">
        <v>547.61</v>
      </c>
      <c r="H65" s="3109">
        <v>0</v>
      </c>
      <c r="I65" s="3119">
        <v>0</v>
      </c>
      <c r="J65" s="3109">
        <v>977.47</v>
      </c>
      <c r="K65" s="3119">
        <v>0</v>
      </c>
      <c r="L65" s="3119">
        <v>0</v>
      </c>
      <c r="M65" s="3119">
        <v>0</v>
      </c>
      <c r="N65" s="3119">
        <v>2</v>
      </c>
      <c r="O65" s="3119">
        <v>3</v>
      </c>
      <c r="P65" s="3119">
        <v>5</v>
      </c>
    </row>
    <row r="66" spans="4:16" ht="15" hidden="1" thickBot="1">
      <c r="D66" s="3113" t="s">
        <v>3135</v>
      </c>
      <c r="E66" s="3108" t="s">
        <v>4787</v>
      </c>
      <c r="F66" s="3109">
        <v>1523.29</v>
      </c>
      <c r="G66" s="3109">
        <v>547.61</v>
      </c>
      <c r="H66" s="3109">
        <v>0</v>
      </c>
      <c r="I66" s="3119">
        <v>0</v>
      </c>
      <c r="J66" s="3109">
        <v>975.68</v>
      </c>
      <c r="K66" s="3119">
        <v>0</v>
      </c>
      <c r="L66" s="3119">
        <v>0</v>
      </c>
      <c r="M66" s="3119">
        <v>0</v>
      </c>
      <c r="N66" s="3119">
        <v>2</v>
      </c>
      <c r="O66" s="3119">
        <v>3</v>
      </c>
      <c r="P66" s="3119">
        <v>5</v>
      </c>
    </row>
    <row r="67" spans="4:16" ht="15" hidden="1" thickBot="1">
      <c r="D67" s="3113" t="s">
        <v>3136</v>
      </c>
      <c r="E67" s="3108" t="s">
        <v>4787</v>
      </c>
      <c r="F67" s="3109">
        <v>1815.68</v>
      </c>
      <c r="G67" s="3109">
        <v>652.01</v>
      </c>
      <c r="H67" s="3109">
        <v>0</v>
      </c>
      <c r="I67" s="3119">
        <v>0</v>
      </c>
      <c r="J67" s="3109">
        <v>1163.67</v>
      </c>
      <c r="K67" s="3119">
        <v>0</v>
      </c>
      <c r="L67" s="3119">
        <v>0</v>
      </c>
      <c r="M67" s="3119">
        <v>0</v>
      </c>
      <c r="N67" s="3119">
        <v>2</v>
      </c>
      <c r="O67" s="3119">
        <v>3</v>
      </c>
      <c r="P67" s="3119">
        <v>6</v>
      </c>
    </row>
    <row r="68" spans="4:16" ht="15" hidden="1" thickBot="1">
      <c r="D68" s="3113" t="s">
        <v>3137</v>
      </c>
      <c r="E68" s="3108" t="s">
        <v>4787</v>
      </c>
      <c r="F68" s="3109">
        <v>1815.68</v>
      </c>
      <c r="G68" s="3109">
        <v>652.01</v>
      </c>
      <c r="H68" s="3109">
        <v>0</v>
      </c>
      <c r="I68" s="3119">
        <v>0</v>
      </c>
      <c r="J68" s="3109">
        <v>1163.67</v>
      </c>
      <c r="K68" s="3119">
        <v>0</v>
      </c>
      <c r="L68" s="3119">
        <v>0</v>
      </c>
      <c r="M68" s="3119">
        <v>0</v>
      </c>
      <c r="N68" s="3119">
        <v>2</v>
      </c>
      <c r="O68" s="3119">
        <v>3</v>
      </c>
      <c r="P68" s="3119">
        <v>6</v>
      </c>
    </row>
    <row r="69" spans="4:16" ht="15" hidden="1" thickBot="1">
      <c r="D69" s="3113" t="s">
        <v>3138</v>
      </c>
      <c r="E69" s="3108" t="s">
        <v>4787</v>
      </c>
      <c r="F69" s="3109">
        <v>1817.52</v>
      </c>
      <c r="G69" s="3109">
        <v>652.01</v>
      </c>
      <c r="H69" s="3109">
        <v>0</v>
      </c>
      <c r="I69" s="3119">
        <v>0</v>
      </c>
      <c r="J69" s="3109">
        <v>1165.51</v>
      </c>
      <c r="K69" s="3119">
        <v>0</v>
      </c>
      <c r="L69" s="3119">
        <v>0</v>
      </c>
      <c r="M69" s="3119">
        <v>0</v>
      </c>
      <c r="N69" s="3119">
        <v>2</v>
      </c>
      <c r="O69" s="3119">
        <v>3</v>
      </c>
      <c r="P69" s="3119">
        <v>6</v>
      </c>
    </row>
    <row r="70" spans="4:16" ht="15" hidden="1" thickBot="1">
      <c r="D70" s="3113" t="s">
        <v>3139</v>
      </c>
      <c r="E70" s="3108" t="s">
        <v>4787</v>
      </c>
      <c r="F70" s="3109">
        <v>1524.39</v>
      </c>
      <c r="G70" s="3109">
        <v>547.61</v>
      </c>
      <c r="H70" s="3109">
        <v>0</v>
      </c>
      <c r="I70" s="3119">
        <v>0</v>
      </c>
      <c r="J70" s="3109">
        <v>976.78</v>
      </c>
      <c r="K70" s="3119">
        <v>0</v>
      </c>
      <c r="L70" s="3119">
        <v>0</v>
      </c>
      <c r="M70" s="3119">
        <v>0</v>
      </c>
      <c r="N70" s="3119">
        <v>2</v>
      </c>
      <c r="O70" s="3119">
        <v>3</v>
      </c>
      <c r="P70" s="3119">
        <v>5</v>
      </c>
    </row>
    <row r="71" spans="4:16" ht="15" hidden="1" thickBot="1">
      <c r="D71" s="3113" t="s">
        <v>3140</v>
      </c>
      <c r="E71" s="3108" t="s">
        <v>4787</v>
      </c>
      <c r="F71" s="3109">
        <v>1816.32</v>
      </c>
      <c r="G71" s="3109">
        <v>652.01</v>
      </c>
      <c r="H71" s="3109">
        <v>0</v>
      </c>
      <c r="I71" s="3119">
        <v>0</v>
      </c>
      <c r="J71" s="3109">
        <v>1164.31</v>
      </c>
      <c r="K71" s="3119">
        <v>0</v>
      </c>
      <c r="L71" s="3119">
        <v>0</v>
      </c>
      <c r="M71" s="3119">
        <v>0</v>
      </c>
      <c r="N71" s="3119">
        <v>2</v>
      </c>
      <c r="O71" s="3119">
        <v>3</v>
      </c>
      <c r="P71" s="3119">
        <v>6</v>
      </c>
    </row>
    <row r="72" spans="4:16" ht="15" hidden="1" thickBot="1">
      <c r="D72" s="3113" t="s">
        <v>3141</v>
      </c>
      <c r="E72" s="3108" t="s">
        <v>4787</v>
      </c>
      <c r="F72" s="3109">
        <v>1816.32</v>
      </c>
      <c r="G72" s="3109">
        <v>652.01</v>
      </c>
      <c r="H72" s="3109">
        <v>0</v>
      </c>
      <c r="I72" s="3119">
        <v>0</v>
      </c>
      <c r="J72" s="3109">
        <v>1164.31</v>
      </c>
      <c r="K72" s="3119">
        <v>0</v>
      </c>
      <c r="L72" s="3119">
        <v>0</v>
      </c>
      <c r="M72" s="3119">
        <v>0</v>
      </c>
      <c r="N72" s="3119">
        <v>2</v>
      </c>
      <c r="O72" s="3119">
        <v>3</v>
      </c>
      <c r="P72" s="3119">
        <v>6</v>
      </c>
    </row>
    <row r="73" spans="4:16" ht="15" hidden="1" thickBot="1">
      <c r="D73" s="3113" t="s">
        <v>3142</v>
      </c>
      <c r="E73" s="3108" t="s">
        <v>4787</v>
      </c>
      <c r="F73" s="3109">
        <v>1816.88</v>
      </c>
      <c r="G73" s="3109">
        <v>652.01</v>
      </c>
      <c r="H73" s="3109">
        <v>0</v>
      </c>
      <c r="I73" s="3119">
        <v>0</v>
      </c>
      <c r="J73" s="3109">
        <v>1164.8699999999999</v>
      </c>
      <c r="K73" s="3119">
        <v>0</v>
      </c>
      <c r="L73" s="3119">
        <v>0</v>
      </c>
      <c r="M73" s="3119">
        <v>0</v>
      </c>
      <c r="N73" s="3119">
        <v>2</v>
      </c>
      <c r="O73" s="3119">
        <v>3</v>
      </c>
      <c r="P73" s="3119">
        <v>6</v>
      </c>
    </row>
    <row r="74" spans="4:16" ht="15" hidden="1" thickBot="1">
      <c r="D74" s="3113" t="s">
        <v>3143</v>
      </c>
      <c r="E74" s="3108" t="s">
        <v>4787</v>
      </c>
      <c r="F74" s="3109">
        <v>1816.88</v>
      </c>
      <c r="G74" s="3109">
        <v>652.01</v>
      </c>
      <c r="H74" s="3109">
        <v>0</v>
      </c>
      <c r="I74" s="3119">
        <v>0</v>
      </c>
      <c r="J74" s="3109">
        <v>1164.8699999999999</v>
      </c>
      <c r="K74" s="3119">
        <v>0</v>
      </c>
      <c r="L74" s="3119">
        <v>0</v>
      </c>
      <c r="M74" s="3119">
        <v>0</v>
      </c>
      <c r="N74" s="3119">
        <v>2</v>
      </c>
      <c r="O74" s="3119">
        <v>3</v>
      </c>
      <c r="P74" s="3119">
        <v>6</v>
      </c>
    </row>
    <row r="75" spans="4:16" ht="15" hidden="1" thickBot="1">
      <c r="D75" s="3113" t="s">
        <v>3144</v>
      </c>
      <c r="E75" s="3108" t="s">
        <v>4787</v>
      </c>
      <c r="F75" s="3109">
        <v>1815.68</v>
      </c>
      <c r="G75" s="3109">
        <v>652.01</v>
      </c>
      <c r="H75" s="3109">
        <v>0</v>
      </c>
      <c r="I75" s="3119">
        <v>0</v>
      </c>
      <c r="J75" s="3109">
        <v>1163.67</v>
      </c>
      <c r="K75" s="3119">
        <v>0</v>
      </c>
      <c r="L75" s="3119">
        <v>0</v>
      </c>
      <c r="M75" s="3119">
        <v>0</v>
      </c>
      <c r="N75" s="3119">
        <v>2</v>
      </c>
      <c r="O75" s="3119">
        <v>3</v>
      </c>
      <c r="P75" s="3119">
        <v>6</v>
      </c>
    </row>
    <row r="76" spans="4:16" ht="15" hidden="1" thickBot="1">
      <c r="D76" s="3113" t="s">
        <v>3145</v>
      </c>
      <c r="E76" s="3108" t="s">
        <v>4787</v>
      </c>
      <c r="F76" s="3109">
        <v>1213.4000000000001</v>
      </c>
      <c r="G76" s="3109">
        <v>435.56</v>
      </c>
      <c r="H76" s="3109">
        <v>0</v>
      </c>
      <c r="I76" s="3119">
        <v>0</v>
      </c>
      <c r="J76" s="3109">
        <v>777.84</v>
      </c>
      <c r="K76" s="3119">
        <v>0</v>
      </c>
      <c r="L76" s="3119">
        <v>0</v>
      </c>
      <c r="M76" s="3119">
        <v>0</v>
      </c>
      <c r="N76" s="3119">
        <v>2</v>
      </c>
      <c r="O76" s="3119">
        <v>3</v>
      </c>
      <c r="P76" s="3119">
        <v>4</v>
      </c>
    </row>
    <row r="77" spans="4:16" ht="15" hidden="1" thickBot="1">
      <c r="D77" s="3113" t="s">
        <v>3146</v>
      </c>
      <c r="E77" s="3108" t="s">
        <v>4787</v>
      </c>
      <c r="F77" s="3109">
        <v>1240.74</v>
      </c>
      <c r="G77" s="3109">
        <v>449.59</v>
      </c>
      <c r="H77" s="3109">
        <v>0</v>
      </c>
      <c r="I77" s="3119">
        <v>0</v>
      </c>
      <c r="J77" s="3109">
        <v>791.15</v>
      </c>
      <c r="K77" s="3119">
        <v>0</v>
      </c>
      <c r="L77" s="3119">
        <v>0</v>
      </c>
      <c r="M77" s="3119">
        <v>0</v>
      </c>
      <c r="N77" s="3119">
        <v>2</v>
      </c>
      <c r="O77" s="3119">
        <v>3</v>
      </c>
      <c r="P77" s="3119">
        <v>4</v>
      </c>
    </row>
    <row r="78" spans="4:16" ht="15" hidden="1" thickBot="1">
      <c r="D78" s="3113" t="s">
        <v>3147</v>
      </c>
      <c r="E78" s="3108" t="s">
        <v>4787</v>
      </c>
      <c r="F78" s="3109">
        <v>1816.32</v>
      </c>
      <c r="G78" s="3109">
        <v>652.01</v>
      </c>
      <c r="H78" s="3109">
        <v>0</v>
      </c>
      <c r="I78" s="3119">
        <v>0</v>
      </c>
      <c r="J78" s="3109">
        <v>1164.31</v>
      </c>
      <c r="K78" s="3119">
        <v>0</v>
      </c>
      <c r="L78" s="3119">
        <v>0</v>
      </c>
      <c r="M78" s="3119">
        <v>0</v>
      </c>
      <c r="N78" s="3119">
        <v>2</v>
      </c>
      <c r="O78" s="3119">
        <v>3</v>
      </c>
      <c r="P78" s="3119">
        <v>6</v>
      </c>
    </row>
    <row r="79" spans="4:16" ht="15" hidden="1" thickBot="1">
      <c r="D79" s="3113" t="s">
        <v>3148</v>
      </c>
      <c r="E79" s="3108" t="s">
        <v>4787</v>
      </c>
      <c r="F79" s="3109">
        <v>1240.81</v>
      </c>
      <c r="G79" s="3109">
        <v>449.59</v>
      </c>
      <c r="H79" s="3109">
        <v>0</v>
      </c>
      <c r="I79" s="3119">
        <v>0</v>
      </c>
      <c r="J79" s="3109">
        <v>791.22</v>
      </c>
      <c r="K79" s="3119">
        <v>0</v>
      </c>
      <c r="L79" s="3119">
        <v>0</v>
      </c>
      <c r="M79" s="3119">
        <v>0</v>
      </c>
      <c r="N79" s="3119">
        <v>2</v>
      </c>
      <c r="O79" s="3119">
        <v>3</v>
      </c>
      <c r="P79" s="3119">
        <v>4</v>
      </c>
    </row>
    <row r="80" spans="4:16" ht="15" hidden="1" thickBot="1">
      <c r="D80" s="3113" t="s">
        <v>3149</v>
      </c>
      <c r="E80" s="3108" t="s">
        <v>4787</v>
      </c>
      <c r="F80" s="3109">
        <v>2418.6799999999998</v>
      </c>
      <c r="G80" s="3109">
        <v>868.47</v>
      </c>
      <c r="H80" s="3109">
        <v>0</v>
      </c>
      <c r="I80" s="3119">
        <v>0</v>
      </c>
      <c r="J80" s="3109">
        <v>1550.21</v>
      </c>
      <c r="K80" s="3119">
        <v>0</v>
      </c>
      <c r="L80" s="3119">
        <v>0</v>
      </c>
      <c r="M80" s="3119">
        <v>0</v>
      </c>
      <c r="N80" s="3119">
        <v>2</v>
      </c>
      <c r="O80" s="3119">
        <v>3</v>
      </c>
      <c r="P80" s="3119">
        <v>8</v>
      </c>
    </row>
    <row r="81" spans="4:16" ht="15" hidden="1" thickBot="1">
      <c r="D81" s="3113" t="s">
        <v>3150</v>
      </c>
      <c r="E81" s="3108" t="s">
        <v>4787</v>
      </c>
      <c r="F81" s="3109">
        <v>1815.68</v>
      </c>
      <c r="G81" s="3109">
        <v>652.01</v>
      </c>
      <c r="H81" s="3109">
        <v>0</v>
      </c>
      <c r="I81" s="3119">
        <v>0</v>
      </c>
      <c r="J81" s="3109">
        <v>1163.67</v>
      </c>
      <c r="K81" s="3119">
        <v>0</v>
      </c>
      <c r="L81" s="3119">
        <v>0</v>
      </c>
      <c r="M81" s="3119">
        <v>0</v>
      </c>
      <c r="N81" s="3119">
        <v>2</v>
      </c>
      <c r="O81" s="3119">
        <v>3</v>
      </c>
      <c r="P81" s="3119">
        <v>6</v>
      </c>
    </row>
    <row r="82" spans="4:16" ht="15" hidden="1" thickBot="1">
      <c r="D82" s="3113" t="s">
        <v>3151</v>
      </c>
      <c r="E82" s="3108" t="s">
        <v>4787</v>
      </c>
      <c r="F82" s="3109">
        <v>1815.68</v>
      </c>
      <c r="G82" s="3109">
        <v>652.01</v>
      </c>
      <c r="H82" s="3109">
        <v>0</v>
      </c>
      <c r="I82" s="3119">
        <v>0</v>
      </c>
      <c r="J82" s="3109">
        <v>1163.67</v>
      </c>
      <c r="K82" s="3119">
        <v>0</v>
      </c>
      <c r="L82" s="3119">
        <v>0</v>
      </c>
      <c r="M82" s="3119">
        <v>0</v>
      </c>
      <c r="N82" s="3119">
        <v>2</v>
      </c>
      <c r="O82" s="3119">
        <v>3</v>
      </c>
      <c r="P82" s="3119">
        <v>6</v>
      </c>
    </row>
    <row r="83" spans="4:16" ht="15" hidden="1" thickBot="1">
      <c r="D83" s="3113" t="s">
        <v>3152</v>
      </c>
      <c r="E83" s="3108" t="s">
        <v>4787</v>
      </c>
      <c r="F83" s="3109">
        <v>2419.2399999999998</v>
      </c>
      <c r="G83" s="3109">
        <v>868.47</v>
      </c>
      <c r="H83" s="3109">
        <v>0</v>
      </c>
      <c r="I83" s="3119">
        <v>0</v>
      </c>
      <c r="J83" s="3109">
        <v>1550.77</v>
      </c>
      <c r="K83" s="3119">
        <v>0</v>
      </c>
      <c r="L83" s="3119">
        <v>0</v>
      </c>
      <c r="M83" s="3119">
        <v>0</v>
      </c>
      <c r="N83" s="3119">
        <v>2</v>
      </c>
      <c r="O83" s="3119">
        <v>3</v>
      </c>
      <c r="P83" s="3119">
        <v>8</v>
      </c>
    </row>
    <row r="84" spans="4:16" ht="15" hidden="1" thickBot="1">
      <c r="D84" s="3113" t="s">
        <v>3153</v>
      </c>
      <c r="E84" s="3108" t="s">
        <v>4787</v>
      </c>
      <c r="F84" s="3109">
        <v>2418.62</v>
      </c>
      <c r="G84" s="3109">
        <v>868.47</v>
      </c>
      <c r="H84" s="3109">
        <v>0</v>
      </c>
      <c r="I84" s="3119">
        <v>0</v>
      </c>
      <c r="J84" s="3109">
        <v>1550.15</v>
      </c>
      <c r="K84" s="3119">
        <v>0</v>
      </c>
      <c r="L84" s="3119">
        <v>0</v>
      </c>
      <c r="M84" s="3119">
        <v>0</v>
      </c>
      <c r="N84" s="3119">
        <v>2</v>
      </c>
      <c r="O84" s="3119">
        <v>3</v>
      </c>
      <c r="P84" s="3119">
        <v>8</v>
      </c>
    </row>
    <row r="85" spans="4:16" ht="15" hidden="1" thickBot="1">
      <c r="D85" s="3113" t="s">
        <v>3154</v>
      </c>
      <c r="E85" s="3108" t="s">
        <v>4787</v>
      </c>
      <c r="F85" s="3109">
        <v>1170.81</v>
      </c>
      <c r="G85" s="3109">
        <v>351.38</v>
      </c>
      <c r="H85" s="3109">
        <v>0</v>
      </c>
      <c r="I85" s="3119">
        <v>0</v>
      </c>
      <c r="J85" s="3109">
        <v>819.43</v>
      </c>
      <c r="K85" s="3119">
        <v>0</v>
      </c>
      <c r="L85" s="3119">
        <v>0</v>
      </c>
      <c r="M85" s="3119">
        <v>0</v>
      </c>
      <c r="N85" s="3119">
        <v>2</v>
      </c>
      <c r="O85" s="3119">
        <v>3</v>
      </c>
      <c r="P85" s="3119">
        <v>2</v>
      </c>
    </row>
    <row r="86" spans="4:16" ht="15" hidden="1" thickBot="1">
      <c r="D86" s="3113" t="s">
        <v>3155</v>
      </c>
      <c r="E86" s="3108" t="s">
        <v>4787</v>
      </c>
      <c r="F86" s="3109">
        <v>1170.81</v>
      </c>
      <c r="G86" s="3109">
        <v>351.38</v>
      </c>
      <c r="H86" s="3109">
        <v>0</v>
      </c>
      <c r="I86" s="3119">
        <v>0</v>
      </c>
      <c r="J86" s="3109">
        <v>819.43</v>
      </c>
      <c r="K86" s="3119">
        <v>0</v>
      </c>
      <c r="L86" s="3119">
        <v>0</v>
      </c>
      <c r="M86" s="3119">
        <v>0</v>
      </c>
      <c r="N86" s="3119">
        <v>2</v>
      </c>
      <c r="O86" s="3119">
        <v>3</v>
      </c>
      <c r="P86" s="3119">
        <v>2</v>
      </c>
    </row>
    <row r="87" spans="4:16" ht="15" hidden="1" thickBot="1">
      <c r="D87" s="3113" t="s">
        <v>3156</v>
      </c>
      <c r="E87" s="3108" t="s">
        <v>4787</v>
      </c>
      <c r="F87" s="3109">
        <v>2418.62</v>
      </c>
      <c r="G87" s="3109">
        <v>868.47</v>
      </c>
      <c r="H87" s="3109">
        <v>0</v>
      </c>
      <c r="I87" s="3119">
        <v>0</v>
      </c>
      <c r="J87" s="3109">
        <v>1550.15</v>
      </c>
      <c r="K87" s="3119">
        <v>0</v>
      </c>
      <c r="L87" s="3119">
        <v>0</v>
      </c>
      <c r="M87" s="3119">
        <v>0</v>
      </c>
      <c r="N87" s="3119">
        <v>2</v>
      </c>
      <c r="O87" s="3119">
        <v>3</v>
      </c>
      <c r="P87" s="3119">
        <v>8</v>
      </c>
    </row>
    <row r="88" spans="4:16" ht="15" hidden="1" thickBot="1">
      <c r="D88" s="3113" t="s">
        <v>3157</v>
      </c>
      <c r="E88" s="3108" t="s">
        <v>4787</v>
      </c>
      <c r="F88" s="3109">
        <v>2418.62</v>
      </c>
      <c r="G88" s="3109">
        <v>868.47</v>
      </c>
      <c r="H88" s="3109">
        <v>0</v>
      </c>
      <c r="I88" s="3119">
        <v>0</v>
      </c>
      <c r="J88" s="3109">
        <v>1550.15</v>
      </c>
      <c r="K88" s="3119">
        <v>0</v>
      </c>
      <c r="L88" s="3119">
        <v>0</v>
      </c>
      <c r="M88" s="3119">
        <v>0</v>
      </c>
      <c r="N88" s="3119">
        <v>2</v>
      </c>
      <c r="O88" s="3119">
        <v>3</v>
      </c>
      <c r="P88" s="3119">
        <v>8</v>
      </c>
    </row>
    <row r="89" spans="4:16" ht="15" hidden="1" thickBot="1">
      <c r="D89" s="3113" t="s">
        <v>3158</v>
      </c>
      <c r="E89" s="3108" t="s">
        <v>4787</v>
      </c>
      <c r="F89" s="3109">
        <v>1817.52</v>
      </c>
      <c r="G89" s="3109">
        <v>652.01</v>
      </c>
      <c r="H89" s="3109">
        <v>0</v>
      </c>
      <c r="I89" s="3119">
        <v>0</v>
      </c>
      <c r="J89" s="3109">
        <v>1165.51</v>
      </c>
      <c r="K89" s="3119">
        <v>0</v>
      </c>
      <c r="L89" s="3119">
        <v>0</v>
      </c>
      <c r="M89" s="3119">
        <v>0</v>
      </c>
      <c r="N89" s="3119">
        <v>2</v>
      </c>
      <c r="O89" s="3119">
        <v>3</v>
      </c>
      <c r="P89" s="3119">
        <v>6</v>
      </c>
    </row>
    <row r="90" spans="4:16" ht="15" hidden="1" thickBot="1">
      <c r="D90" s="3113" t="s">
        <v>3159</v>
      </c>
      <c r="E90" s="3108" t="s">
        <v>4787</v>
      </c>
      <c r="F90" s="3109">
        <v>1817.1</v>
      </c>
      <c r="G90" s="3109">
        <v>652.01</v>
      </c>
      <c r="H90" s="3109">
        <v>0</v>
      </c>
      <c r="I90" s="3119">
        <v>0</v>
      </c>
      <c r="J90" s="3109">
        <v>1165.0899999999999</v>
      </c>
      <c r="K90" s="3119">
        <v>0</v>
      </c>
      <c r="L90" s="3119">
        <v>0</v>
      </c>
      <c r="M90" s="3119">
        <v>0</v>
      </c>
      <c r="N90" s="3119">
        <v>2</v>
      </c>
      <c r="O90" s="3119">
        <v>3</v>
      </c>
      <c r="P90" s="3119">
        <v>6</v>
      </c>
    </row>
    <row r="91" spans="4:16" ht="15" hidden="1" thickBot="1">
      <c r="D91" s="3113" t="s">
        <v>3160</v>
      </c>
      <c r="E91" s="3108" t="s">
        <v>4787</v>
      </c>
      <c r="F91" s="3109">
        <v>2419.88</v>
      </c>
      <c r="G91" s="3109">
        <v>868.47</v>
      </c>
      <c r="H91" s="3109">
        <v>0</v>
      </c>
      <c r="I91" s="3119">
        <v>0</v>
      </c>
      <c r="J91" s="3109">
        <v>1551.41</v>
      </c>
      <c r="K91" s="3119">
        <v>0</v>
      </c>
      <c r="L91" s="3119">
        <v>0</v>
      </c>
      <c r="M91" s="3119">
        <v>0</v>
      </c>
      <c r="N91" s="3119">
        <v>2</v>
      </c>
      <c r="O91" s="3119">
        <v>3</v>
      </c>
      <c r="P91" s="3119">
        <v>8</v>
      </c>
    </row>
    <row r="92" spans="4:16" ht="15" hidden="1" thickBot="1">
      <c r="D92" s="3113" t="s">
        <v>3161</v>
      </c>
      <c r="E92" s="3108" t="s">
        <v>4787</v>
      </c>
      <c r="F92" s="3109">
        <v>1240.22</v>
      </c>
      <c r="G92" s="3109">
        <v>449.59</v>
      </c>
      <c r="H92" s="3109">
        <v>0</v>
      </c>
      <c r="I92" s="3119">
        <v>0</v>
      </c>
      <c r="J92" s="3109">
        <v>790.63</v>
      </c>
      <c r="K92" s="3119">
        <v>0</v>
      </c>
      <c r="L92" s="3119">
        <v>0</v>
      </c>
      <c r="M92" s="3119">
        <v>0</v>
      </c>
      <c r="N92" s="3119">
        <v>2</v>
      </c>
      <c r="O92" s="3119">
        <v>3</v>
      </c>
      <c r="P92" s="3119">
        <v>4</v>
      </c>
    </row>
    <row r="93" spans="4:16" ht="15" hidden="1" thickBot="1">
      <c r="D93" s="3113" t="s">
        <v>3162</v>
      </c>
      <c r="E93" s="3108" t="s">
        <v>4787</v>
      </c>
      <c r="F93" s="3109">
        <v>931.94</v>
      </c>
      <c r="G93" s="3109">
        <v>337.54</v>
      </c>
      <c r="H93" s="3109">
        <v>0</v>
      </c>
      <c r="I93" s="3119">
        <v>0</v>
      </c>
      <c r="J93" s="3109">
        <v>594.4</v>
      </c>
      <c r="K93" s="3119">
        <v>0</v>
      </c>
      <c r="L93" s="3119">
        <v>0</v>
      </c>
      <c r="M93" s="3119">
        <v>0</v>
      </c>
      <c r="N93" s="3119">
        <v>2</v>
      </c>
      <c r="O93" s="3119">
        <v>3</v>
      </c>
      <c r="P93" s="3119">
        <v>3</v>
      </c>
    </row>
    <row r="94" spans="4:16" ht="15" hidden="1" thickBot="1">
      <c r="D94" s="3113" t="s">
        <v>3163</v>
      </c>
      <c r="E94" s="3108" t="s">
        <v>4787</v>
      </c>
      <c r="F94" s="3109">
        <v>1816.88</v>
      </c>
      <c r="G94" s="3109">
        <v>652.01</v>
      </c>
      <c r="H94" s="3109">
        <v>0</v>
      </c>
      <c r="I94" s="3119">
        <v>0</v>
      </c>
      <c r="J94" s="3109">
        <v>1164.8699999999999</v>
      </c>
      <c r="K94" s="3119">
        <v>0</v>
      </c>
      <c r="L94" s="3119">
        <v>0</v>
      </c>
      <c r="M94" s="3119">
        <v>0</v>
      </c>
      <c r="N94" s="3119">
        <v>2</v>
      </c>
      <c r="O94" s="3119">
        <v>3</v>
      </c>
      <c r="P94" s="3119">
        <v>6</v>
      </c>
    </row>
    <row r="95" spans="4:16" ht="15" hidden="1" thickBot="1">
      <c r="D95" s="3113" t="s">
        <v>3164</v>
      </c>
      <c r="E95" s="3108" t="s">
        <v>4787</v>
      </c>
      <c r="F95" s="3109">
        <v>2419.88</v>
      </c>
      <c r="G95" s="3109">
        <v>868.47</v>
      </c>
      <c r="H95" s="3109">
        <v>0</v>
      </c>
      <c r="I95" s="3119">
        <v>0</v>
      </c>
      <c r="J95" s="3109">
        <v>1551.41</v>
      </c>
      <c r="K95" s="3119">
        <v>0</v>
      </c>
      <c r="L95" s="3119">
        <v>0</v>
      </c>
      <c r="M95" s="3119">
        <v>0</v>
      </c>
      <c r="N95" s="3119">
        <v>2</v>
      </c>
      <c r="O95" s="3119">
        <v>3</v>
      </c>
      <c r="P95" s="3119">
        <v>8</v>
      </c>
    </row>
    <row r="96" spans="4:16" ht="15" hidden="1" thickBot="1">
      <c r="D96" s="3113" t="s">
        <v>3165</v>
      </c>
      <c r="E96" s="3108" t="s">
        <v>4787</v>
      </c>
      <c r="F96" s="3109">
        <v>1629.12</v>
      </c>
      <c r="G96" s="3109">
        <v>563.59</v>
      </c>
      <c r="H96" s="3109">
        <v>0</v>
      </c>
      <c r="I96" s="3119">
        <v>0</v>
      </c>
      <c r="J96" s="3109">
        <v>1065.53</v>
      </c>
      <c r="K96" s="3119">
        <v>0</v>
      </c>
      <c r="L96" s="3119">
        <v>0</v>
      </c>
      <c r="M96" s="3119">
        <v>0</v>
      </c>
      <c r="N96" s="3119">
        <v>2</v>
      </c>
      <c r="O96" s="3119">
        <v>3</v>
      </c>
      <c r="P96" s="3119">
        <v>4</v>
      </c>
    </row>
    <row r="97" spans="4:16" ht="15" hidden="1" thickBot="1">
      <c r="D97" s="3113" t="s">
        <v>3166</v>
      </c>
      <c r="E97" s="3108" t="s">
        <v>4787</v>
      </c>
      <c r="F97" s="3109">
        <v>1629.12</v>
      </c>
      <c r="G97" s="3109">
        <v>563.59</v>
      </c>
      <c r="H97" s="3109">
        <v>0</v>
      </c>
      <c r="I97" s="3119">
        <v>0</v>
      </c>
      <c r="J97" s="3109">
        <v>1065.53</v>
      </c>
      <c r="K97" s="3119">
        <v>0</v>
      </c>
      <c r="L97" s="3119">
        <v>0</v>
      </c>
      <c r="M97" s="3119">
        <v>0</v>
      </c>
      <c r="N97" s="3119">
        <v>2</v>
      </c>
      <c r="O97" s="3119">
        <v>3</v>
      </c>
      <c r="P97" s="3119">
        <v>4</v>
      </c>
    </row>
    <row r="98" spans="4:16" ht="15" hidden="1" thickBot="1">
      <c r="D98" s="3113" t="s">
        <v>3167</v>
      </c>
      <c r="E98" s="3108" t="s">
        <v>4787</v>
      </c>
      <c r="F98" s="3109">
        <v>1223.45</v>
      </c>
      <c r="G98" s="3109">
        <v>423.08</v>
      </c>
      <c r="H98" s="3109">
        <v>0</v>
      </c>
      <c r="I98" s="3119">
        <v>0</v>
      </c>
      <c r="J98" s="3109">
        <v>800.37</v>
      </c>
      <c r="K98" s="3119">
        <v>0</v>
      </c>
      <c r="L98" s="3119">
        <v>0</v>
      </c>
      <c r="M98" s="3119">
        <v>0</v>
      </c>
      <c r="N98" s="3119">
        <v>2</v>
      </c>
      <c r="O98" s="3119">
        <v>3</v>
      </c>
      <c r="P98" s="3119">
        <v>3</v>
      </c>
    </row>
    <row r="99" spans="4:16" ht="15" hidden="1" thickBot="1">
      <c r="D99" s="3113" t="s">
        <v>3168</v>
      </c>
      <c r="E99" s="3108" t="s">
        <v>4787</v>
      </c>
      <c r="F99" s="3109">
        <v>1816.88</v>
      </c>
      <c r="G99" s="3109">
        <v>652.01</v>
      </c>
      <c r="H99" s="3109">
        <v>0</v>
      </c>
      <c r="I99" s="3119">
        <v>0</v>
      </c>
      <c r="J99" s="3109">
        <v>1164.8699999999999</v>
      </c>
      <c r="K99" s="3119">
        <v>0</v>
      </c>
      <c r="L99" s="3119">
        <v>0</v>
      </c>
      <c r="M99" s="3119">
        <v>0</v>
      </c>
      <c r="N99" s="3119">
        <v>2</v>
      </c>
      <c r="O99" s="3119">
        <v>3</v>
      </c>
      <c r="P99" s="3119">
        <v>6</v>
      </c>
    </row>
    <row r="100" spans="4:16" ht="15" hidden="1" thickBot="1">
      <c r="D100" s="3113" t="s">
        <v>3169</v>
      </c>
      <c r="E100" s="3108" t="s">
        <v>4787</v>
      </c>
      <c r="F100" s="3109">
        <v>1212.72</v>
      </c>
      <c r="G100" s="3109">
        <v>435.56</v>
      </c>
      <c r="H100" s="3109">
        <v>0</v>
      </c>
      <c r="I100" s="3119">
        <v>0</v>
      </c>
      <c r="J100" s="3109">
        <v>777.16</v>
      </c>
      <c r="K100" s="3119">
        <v>0</v>
      </c>
      <c r="L100" s="3119">
        <v>0</v>
      </c>
      <c r="M100" s="3119">
        <v>0</v>
      </c>
      <c r="N100" s="3119">
        <v>2</v>
      </c>
      <c r="O100" s="3119">
        <v>3</v>
      </c>
      <c r="P100" s="3119">
        <v>4</v>
      </c>
    </row>
    <row r="101" spans="4:16" ht="15" hidden="1" thickBot="1">
      <c r="D101" s="3113" t="s">
        <v>3170</v>
      </c>
      <c r="E101" s="3108" t="s">
        <v>4787</v>
      </c>
      <c r="F101" s="3109">
        <v>1212.72</v>
      </c>
      <c r="G101" s="3109">
        <v>435.56</v>
      </c>
      <c r="H101" s="3109">
        <v>0</v>
      </c>
      <c r="I101" s="3119">
        <v>0</v>
      </c>
      <c r="J101" s="3109">
        <v>777.16</v>
      </c>
      <c r="K101" s="3119">
        <v>0</v>
      </c>
      <c r="L101" s="3119">
        <v>0</v>
      </c>
      <c r="M101" s="3119">
        <v>0</v>
      </c>
      <c r="N101" s="3119">
        <v>2</v>
      </c>
      <c r="O101" s="3119">
        <v>3</v>
      </c>
      <c r="P101" s="3119">
        <v>4</v>
      </c>
    </row>
    <row r="102" spans="4:16" ht="15" hidden="1" thickBot="1">
      <c r="D102" s="3113" t="s">
        <v>3171</v>
      </c>
      <c r="E102" s="3108" t="s">
        <v>4787</v>
      </c>
      <c r="F102" s="3109">
        <v>1815.68</v>
      </c>
      <c r="G102" s="3109">
        <v>652.01</v>
      </c>
      <c r="H102" s="3109">
        <v>0</v>
      </c>
      <c r="I102" s="3119">
        <v>0</v>
      </c>
      <c r="J102" s="3109">
        <v>1163.67</v>
      </c>
      <c r="K102" s="3119">
        <v>0</v>
      </c>
      <c r="L102" s="3119">
        <v>0</v>
      </c>
      <c r="M102" s="3119">
        <v>0</v>
      </c>
      <c r="N102" s="3119">
        <v>2</v>
      </c>
      <c r="O102" s="3119">
        <v>3</v>
      </c>
      <c r="P102" s="3119">
        <v>6</v>
      </c>
    </row>
    <row r="103" spans="4:16" ht="15" hidden="1" thickBot="1">
      <c r="D103" s="3113" t="s">
        <v>3172</v>
      </c>
      <c r="E103" s="3108" t="s">
        <v>4787</v>
      </c>
      <c r="F103" s="3109">
        <v>1817.52</v>
      </c>
      <c r="G103" s="3109">
        <v>652.01</v>
      </c>
      <c r="H103" s="3109">
        <v>0</v>
      </c>
      <c r="I103" s="3119">
        <v>0</v>
      </c>
      <c r="J103" s="3109">
        <v>1165.51</v>
      </c>
      <c r="K103" s="3119">
        <v>0</v>
      </c>
      <c r="L103" s="3119">
        <v>0</v>
      </c>
      <c r="M103" s="3119">
        <v>0</v>
      </c>
      <c r="N103" s="3119">
        <v>2</v>
      </c>
      <c r="O103" s="3119">
        <v>3</v>
      </c>
      <c r="P103" s="3119">
        <v>6</v>
      </c>
    </row>
    <row r="104" spans="4:16" ht="15" hidden="1" thickBot="1">
      <c r="D104" s="3113" t="s">
        <v>3173</v>
      </c>
      <c r="E104" s="3108" t="s">
        <v>4787</v>
      </c>
      <c r="F104" s="3109">
        <v>1213.94</v>
      </c>
      <c r="G104" s="3109">
        <v>435.56</v>
      </c>
      <c r="H104" s="3109">
        <v>0</v>
      </c>
      <c r="I104" s="3119">
        <v>0</v>
      </c>
      <c r="J104" s="3109">
        <v>778.38</v>
      </c>
      <c r="K104" s="3119">
        <v>0</v>
      </c>
      <c r="L104" s="3119">
        <v>0</v>
      </c>
      <c r="M104" s="3119">
        <v>0</v>
      </c>
      <c r="N104" s="3119">
        <v>2</v>
      </c>
      <c r="O104" s="3119">
        <v>3</v>
      </c>
      <c r="P104" s="3119">
        <v>4</v>
      </c>
    </row>
    <row r="105" spans="4:16" ht="15" hidden="1" thickBot="1">
      <c r="D105" s="3113" t="s">
        <v>3174</v>
      </c>
      <c r="E105" s="3108" t="s">
        <v>4787</v>
      </c>
      <c r="F105" s="3109">
        <v>1816.04</v>
      </c>
      <c r="G105" s="3109">
        <v>652.01</v>
      </c>
      <c r="H105" s="3109">
        <v>0</v>
      </c>
      <c r="I105" s="3119">
        <v>0</v>
      </c>
      <c r="J105" s="3109">
        <v>1164.03</v>
      </c>
      <c r="K105" s="3119">
        <v>0</v>
      </c>
      <c r="L105" s="3119">
        <v>0</v>
      </c>
      <c r="M105" s="3119">
        <v>0</v>
      </c>
      <c r="N105" s="3119">
        <v>2</v>
      </c>
      <c r="O105" s="3119">
        <v>3</v>
      </c>
      <c r="P105" s="3119">
        <v>6</v>
      </c>
    </row>
    <row r="106" spans="4:16" ht="15" hidden="1" thickBot="1">
      <c r="D106" s="3113" t="s">
        <v>3175</v>
      </c>
      <c r="E106" s="3108" t="s">
        <v>4787</v>
      </c>
      <c r="F106" s="3109">
        <v>1214.1400000000001</v>
      </c>
      <c r="G106" s="3109">
        <v>435.56</v>
      </c>
      <c r="H106" s="3109">
        <v>0</v>
      </c>
      <c r="I106" s="3119">
        <v>0</v>
      </c>
      <c r="J106" s="3109">
        <v>778.58</v>
      </c>
      <c r="K106" s="3119">
        <v>0</v>
      </c>
      <c r="L106" s="3119">
        <v>0</v>
      </c>
      <c r="M106" s="3119">
        <v>0</v>
      </c>
      <c r="N106" s="3119">
        <v>2</v>
      </c>
      <c r="O106" s="3119">
        <v>3</v>
      </c>
      <c r="P106" s="3119">
        <v>4</v>
      </c>
    </row>
    <row r="107" spans="4:16" ht="15" hidden="1" thickBot="1">
      <c r="D107" s="3113" t="s">
        <v>3176</v>
      </c>
      <c r="E107" s="3108" t="s">
        <v>4787</v>
      </c>
      <c r="F107" s="3109">
        <v>1214.6199999999999</v>
      </c>
      <c r="G107" s="3109">
        <v>435.56</v>
      </c>
      <c r="H107" s="3109">
        <v>0</v>
      </c>
      <c r="I107" s="3119">
        <v>0</v>
      </c>
      <c r="J107" s="3109">
        <v>779.06</v>
      </c>
      <c r="K107" s="3119">
        <v>0</v>
      </c>
      <c r="L107" s="3119">
        <v>0</v>
      </c>
      <c r="M107" s="3119">
        <v>0</v>
      </c>
      <c r="N107" s="3119">
        <v>2</v>
      </c>
      <c r="O107" s="3119">
        <v>3</v>
      </c>
      <c r="P107" s="3119">
        <v>4</v>
      </c>
    </row>
    <row r="108" spans="4:16" ht="15" hidden="1" thickBot="1">
      <c r="D108" s="3113" t="s">
        <v>3177</v>
      </c>
      <c r="E108" s="3108" t="s">
        <v>4787</v>
      </c>
      <c r="F108" s="3109">
        <v>1816.88</v>
      </c>
      <c r="G108" s="3109">
        <v>652.01</v>
      </c>
      <c r="H108" s="3109">
        <v>0</v>
      </c>
      <c r="I108" s="3119">
        <v>0</v>
      </c>
      <c r="J108" s="3109">
        <v>1164.8699999999999</v>
      </c>
      <c r="K108" s="3119">
        <v>0</v>
      </c>
      <c r="L108" s="3119">
        <v>0</v>
      </c>
      <c r="M108" s="3119">
        <v>0</v>
      </c>
      <c r="N108" s="3119">
        <v>2</v>
      </c>
      <c r="O108" s="3119">
        <v>3</v>
      </c>
      <c r="P108" s="3119">
        <v>6</v>
      </c>
    </row>
    <row r="109" spans="4:16" ht="15" hidden="1" thickBot="1">
      <c r="D109" s="3113" t="s">
        <v>3178</v>
      </c>
      <c r="E109" s="3108" t="s">
        <v>4787</v>
      </c>
      <c r="F109" s="3109">
        <v>1214.6199999999999</v>
      </c>
      <c r="G109" s="3109">
        <v>435.56</v>
      </c>
      <c r="H109" s="3109">
        <v>0</v>
      </c>
      <c r="I109" s="3119">
        <v>0</v>
      </c>
      <c r="J109" s="3109">
        <v>779.06</v>
      </c>
      <c r="K109" s="3119">
        <v>0</v>
      </c>
      <c r="L109" s="3119">
        <v>0</v>
      </c>
      <c r="M109" s="3119">
        <v>0</v>
      </c>
      <c r="N109" s="3119">
        <v>2</v>
      </c>
      <c r="O109" s="3119">
        <v>3</v>
      </c>
      <c r="P109" s="3119">
        <v>4</v>
      </c>
    </row>
    <row r="110" spans="4:16" ht="15" hidden="1" thickBot="1">
      <c r="D110" s="3113" t="s">
        <v>3179</v>
      </c>
      <c r="E110" s="3108" t="s">
        <v>4787</v>
      </c>
      <c r="F110" s="3109">
        <v>1816.88</v>
      </c>
      <c r="G110" s="3109">
        <v>652.01</v>
      </c>
      <c r="H110" s="3109">
        <v>0</v>
      </c>
      <c r="I110" s="3119">
        <v>0</v>
      </c>
      <c r="J110" s="3109">
        <v>1164.8699999999999</v>
      </c>
      <c r="K110" s="3119">
        <v>0</v>
      </c>
      <c r="L110" s="3119">
        <v>0</v>
      </c>
      <c r="M110" s="3119">
        <v>0</v>
      </c>
      <c r="N110" s="3119">
        <v>2</v>
      </c>
      <c r="O110" s="3119">
        <v>3</v>
      </c>
      <c r="P110" s="3119">
        <v>6</v>
      </c>
    </row>
    <row r="111" spans="4:16" ht="15" hidden="1" thickBot="1">
      <c r="D111" s="3113" t="s">
        <v>3180</v>
      </c>
      <c r="E111" s="3108" t="s">
        <v>4787</v>
      </c>
      <c r="F111" s="3109">
        <v>1816.88</v>
      </c>
      <c r="G111" s="3109">
        <v>652.01</v>
      </c>
      <c r="H111" s="3109">
        <v>0</v>
      </c>
      <c r="I111" s="3119">
        <v>0</v>
      </c>
      <c r="J111" s="3109">
        <v>1164.8699999999999</v>
      </c>
      <c r="K111" s="3119">
        <v>0</v>
      </c>
      <c r="L111" s="3119">
        <v>0</v>
      </c>
      <c r="M111" s="3119">
        <v>0</v>
      </c>
      <c r="N111" s="3119">
        <v>2</v>
      </c>
      <c r="O111" s="3119">
        <v>3</v>
      </c>
      <c r="P111" s="3119">
        <v>6</v>
      </c>
    </row>
    <row r="112" spans="4:16" ht="15" hidden="1" thickBot="1">
      <c r="D112" s="3113" t="s">
        <v>3181</v>
      </c>
      <c r="E112" s="3108" t="s">
        <v>4787</v>
      </c>
      <c r="F112" s="3109">
        <v>1213.94</v>
      </c>
      <c r="G112" s="3109">
        <v>435.56</v>
      </c>
      <c r="H112" s="3109">
        <v>0</v>
      </c>
      <c r="I112" s="3119">
        <v>0</v>
      </c>
      <c r="J112" s="3109">
        <v>778.38</v>
      </c>
      <c r="K112" s="3119">
        <v>0</v>
      </c>
      <c r="L112" s="3119">
        <v>0</v>
      </c>
      <c r="M112" s="3119">
        <v>0</v>
      </c>
      <c r="N112" s="3119">
        <v>2</v>
      </c>
      <c r="O112" s="3119">
        <v>3</v>
      </c>
      <c r="P112" s="3119">
        <v>4</v>
      </c>
    </row>
    <row r="113" spans="4:16" ht="15" hidden="1" thickBot="1">
      <c r="D113" s="3113" t="s">
        <v>3182</v>
      </c>
      <c r="E113" s="3108" t="s">
        <v>4787</v>
      </c>
      <c r="F113" s="3109">
        <v>1213.78</v>
      </c>
      <c r="G113" s="3109">
        <v>435.56</v>
      </c>
      <c r="H113" s="3109">
        <v>0</v>
      </c>
      <c r="I113" s="3119">
        <v>0</v>
      </c>
      <c r="J113" s="3109">
        <v>778.22</v>
      </c>
      <c r="K113" s="3119">
        <v>0</v>
      </c>
      <c r="L113" s="3119">
        <v>0</v>
      </c>
      <c r="M113" s="3119">
        <v>0</v>
      </c>
      <c r="N113" s="3119">
        <v>2</v>
      </c>
      <c r="O113" s="3119">
        <v>3</v>
      </c>
      <c r="P113" s="3119">
        <v>4</v>
      </c>
    </row>
    <row r="114" spans="4:16" ht="15" hidden="1" thickBot="1">
      <c r="D114" s="3113" t="s">
        <v>3183</v>
      </c>
      <c r="E114" s="3108" t="s">
        <v>4787</v>
      </c>
      <c r="F114" s="3109">
        <v>1816.32</v>
      </c>
      <c r="G114" s="3109">
        <v>652.01</v>
      </c>
      <c r="H114" s="3109">
        <v>0</v>
      </c>
      <c r="I114" s="3119">
        <v>0</v>
      </c>
      <c r="J114" s="3109">
        <v>1164.31</v>
      </c>
      <c r="K114" s="3119">
        <v>0</v>
      </c>
      <c r="L114" s="3119">
        <v>0</v>
      </c>
      <c r="M114" s="3119">
        <v>0</v>
      </c>
      <c r="N114" s="3119">
        <v>2</v>
      </c>
      <c r="O114" s="3119">
        <v>3</v>
      </c>
      <c r="P114" s="3119">
        <v>6</v>
      </c>
    </row>
    <row r="115" spans="4:16" ht="15" thickBot="1">
      <c r="D115" s="3120" t="s">
        <v>4788</v>
      </c>
      <c r="E115" s="3107" t="s">
        <v>70</v>
      </c>
      <c r="F115" s="3110">
        <v>130771.1</v>
      </c>
      <c r="G115" s="3110">
        <v>46710.84</v>
      </c>
      <c r="H115" s="3110">
        <v>0</v>
      </c>
      <c r="I115" s="3121">
        <v>0</v>
      </c>
      <c r="J115" s="3110">
        <v>84060.26</v>
      </c>
      <c r="K115" s="3121">
        <v>0</v>
      </c>
      <c r="L115" s="3121">
        <v>0</v>
      </c>
      <c r="M115" s="3121">
        <v>0</v>
      </c>
      <c r="N115" s="3111" t="s">
        <v>70</v>
      </c>
      <c r="O115" s="3111" t="s">
        <v>70</v>
      </c>
      <c r="P115" s="3119">
        <v>420</v>
      </c>
    </row>
    <row r="116" spans="4:16" ht="15" thickBot="1">
      <c r="D116" s="3113" t="s">
        <v>3199</v>
      </c>
      <c r="E116" s="3108" t="s">
        <v>4789</v>
      </c>
      <c r="F116" s="3109">
        <f>SUM(G116:M116)</f>
        <v>9685.06</v>
      </c>
      <c r="G116" s="3109">
        <v>7330.43</v>
      </c>
      <c r="H116" s="3109">
        <v>0</v>
      </c>
      <c r="I116" s="3119">
        <v>75.55</v>
      </c>
      <c r="J116" s="3109">
        <v>1224.53</v>
      </c>
      <c r="K116" s="3119">
        <v>0</v>
      </c>
      <c r="L116" s="3119">
        <v>0</v>
      </c>
      <c r="M116" s="3119">
        <v>1054.55</v>
      </c>
      <c r="N116" s="3119">
        <v>8</v>
      </c>
      <c r="O116" s="3119">
        <v>3</v>
      </c>
      <c r="P116" s="3119">
        <v>48</v>
      </c>
    </row>
    <row r="117" spans="4:16" ht="15" thickBot="1">
      <c r="D117" s="3113" t="s">
        <v>3200</v>
      </c>
      <c r="E117" s="3108" t="s">
        <v>4789</v>
      </c>
      <c r="F117" s="3109">
        <f t="shared" ref="F117:F125" si="2">SUM(G117:M117)</f>
        <v>8835.02</v>
      </c>
      <c r="G117" s="3109">
        <v>6984.06</v>
      </c>
      <c r="H117" s="3109">
        <v>0</v>
      </c>
      <c r="I117" s="3119">
        <v>0</v>
      </c>
      <c r="J117" s="3109">
        <v>1622.72</v>
      </c>
      <c r="K117" s="3119">
        <v>0</v>
      </c>
      <c r="L117" s="3119">
        <v>0</v>
      </c>
      <c r="M117" s="3119">
        <v>228.24</v>
      </c>
      <c r="N117" s="3119">
        <v>8</v>
      </c>
      <c r="O117" s="3119">
        <v>3</v>
      </c>
      <c r="P117" s="3119">
        <v>48</v>
      </c>
    </row>
    <row r="118" spans="4:16" ht="15" thickBot="1">
      <c r="D118" s="3113" t="s">
        <v>3201</v>
      </c>
      <c r="E118" s="3108" t="s">
        <v>4790</v>
      </c>
      <c r="F118" s="3109">
        <f t="shared" si="2"/>
        <v>8755.9699999999993</v>
      </c>
      <c r="G118" s="3109">
        <v>7317.48</v>
      </c>
      <c r="H118" s="3109">
        <v>0</v>
      </c>
      <c r="I118" s="3119">
        <v>75.55</v>
      </c>
      <c r="J118" s="3109">
        <v>1362.94</v>
      </c>
      <c r="K118" s="3119">
        <v>0</v>
      </c>
      <c r="L118" s="3119">
        <v>0</v>
      </c>
      <c r="M118" s="3119">
        <v>0</v>
      </c>
      <c r="N118" s="3119">
        <v>8</v>
      </c>
      <c r="O118" s="3119">
        <v>3</v>
      </c>
      <c r="P118" s="3119">
        <v>48</v>
      </c>
    </row>
    <row r="119" spans="4:16" ht="15" thickBot="1">
      <c r="D119" s="3113" t="s">
        <v>3202</v>
      </c>
      <c r="E119" s="3108" t="s">
        <v>4791</v>
      </c>
      <c r="F119" s="3109">
        <f t="shared" si="2"/>
        <v>7769.9500000000007</v>
      </c>
      <c r="G119" s="3109">
        <v>4657.3</v>
      </c>
      <c r="H119" s="3109">
        <v>263.92</v>
      </c>
      <c r="I119" s="3119">
        <v>814.92</v>
      </c>
      <c r="J119" s="3109">
        <v>1000.04</v>
      </c>
      <c r="K119" s="3119">
        <v>0</v>
      </c>
      <c r="L119" s="3119">
        <v>382.04</v>
      </c>
      <c r="M119" s="3119">
        <v>651.73</v>
      </c>
      <c r="N119" s="3119">
        <v>8</v>
      </c>
      <c r="O119" s="3119">
        <v>3</v>
      </c>
      <c r="P119" s="3119">
        <v>30</v>
      </c>
    </row>
    <row r="120" spans="4:16" ht="15" thickBot="1">
      <c r="D120" s="3113" t="s">
        <v>3203</v>
      </c>
      <c r="E120" s="3108" t="s">
        <v>4790</v>
      </c>
      <c r="F120" s="3109">
        <f t="shared" si="2"/>
        <v>6077.84</v>
      </c>
      <c r="G120" s="3109">
        <v>4675.24</v>
      </c>
      <c r="H120" s="3109">
        <v>0</v>
      </c>
      <c r="I120" s="3119">
        <v>411.45</v>
      </c>
      <c r="J120" s="3109">
        <v>818.59</v>
      </c>
      <c r="K120" s="3119">
        <v>0</v>
      </c>
      <c r="L120" s="3119">
        <v>0</v>
      </c>
      <c r="M120" s="3119">
        <v>172.56</v>
      </c>
      <c r="N120" s="3119">
        <v>8</v>
      </c>
      <c r="O120" s="3119">
        <v>3</v>
      </c>
      <c r="P120" s="3119">
        <v>30</v>
      </c>
    </row>
    <row r="121" spans="4:16" ht="15" thickBot="1">
      <c r="D121" s="3113" t="s">
        <v>3204</v>
      </c>
      <c r="E121" s="3108" t="s">
        <v>4790</v>
      </c>
      <c r="F121" s="3109">
        <f t="shared" si="2"/>
        <v>5381.22</v>
      </c>
      <c r="G121" s="3109">
        <v>4428.34</v>
      </c>
      <c r="H121" s="3109">
        <v>0</v>
      </c>
      <c r="I121" s="3119">
        <v>47.79</v>
      </c>
      <c r="J121" s="3109">
        <v>905.09</v>
      </c>
      <c r="K121" s="3119">
        <v>0</v>
      </c>
      <c r="L121" s="3119">
        <v>0</v>
      </c>
      <c r="M121" s="3119">
        <v>0</v>
      </c>
      <c r="N121" s="3119">
        <v>7</v>
      </c>
      <c r="O121" s="3119">
        <v>3</v>
      </c>
      <c r="P121" s="3119">
        <v>28</v>
      </c>
    </row>
    <row r="122" spans="4:16" ht="15" thickBot="1">
      <c r="D122" s="3113" t="s">
        <v>3205</v>
      </c>
      <c r="E122" s="3108" t="s">
        <v>4792</v>
      </c>
      <c r="F122" s="3109">
        <f t="shared" si="2"/>
        <v>5381.2099999999991</v>
      </c>
      <c r="G122" s="3109">
        <v>4428.6099999999997</v>
      </c>
      <c r="H122" s="3109">
        <v>0</v>
      </c>
      <c r="I122" s="3119">
        <v>47.79</v>
      </c>
      <c r="J122" s="3109">
        <v>904.81</v>
      </c>
      <c r="K122" s="3119">
        <v>0</v>
      </c>
      <c r="L122" s="3119">
        <v>0</v>
      </c>
      <c r="M122" s="3119">
        <v>0</v>
      </c>
      <c r="N122" s="3119">
        <v>7</v>
      </c>
      <c r="O122" s="3119">
        <v>3</v>
      </c>
      <c r="P122" s="3119">
        <v>28</v>
      </c>
    </row>
    <row r="123" spans="4:16" ht="15" thickBot="1">
      <c r="D123" s="3113" t="s">
        <v>3206</v>
      </c>
      <c r="E123" s="3108" t="s">
        <v>4792</v>
      </c>
      <c r="F123" s="3109">
        <f t="shared" si="2"/>
        <v>5381.1</v>
      </c>
      <c r="G123" s="3109">
        <v>4428.7700000000004</v>
      </c>
      <c r="H123" s="3109">
        <v>0</v>
      </c>
      <c r="I123" s="3119">
        <v>47.79</v>
      </c>
      <c r="J123" s="3109">
        <v>904.54</v>
      </c>
      <c r="K123" s="3119">
        <v>0</v>
      </c>
      <c r="L123" s="3119">
        <v>0</v>
      </c>
      <c r="M123" s="3119">
        <v>0</v>
      </c>
      <c r="N123" s="3119">
        <v>7</v>
      </c>
      <c r="O123" s="3119">
        <v>3</v>
      </c>
      <c r="P123" s="3119">
        <v>28</v>
      </c>
    </row>
    <row r="124" spans="4:16" ht="15" thickBot="1">
      <c r="D124" s="3112" t="s">
        <v>48</v>
      </c>
      <c r="E124" s="3108" t="s">
        <v>4793</v>
      </c>
      <c r="F124" s="3109">
        <f t="shared" si="2"/>
        <v>39574.060000000005</v>
      </c>
      <c r="G124" s="3108">
        <v>0</v>
      </c>
      <c r="H124" s="3108">
        <v>0</v>
      </c>
      <c r="I124" s="3111">
        <v>0</v>
      </c>
      <c r="J124" s="3108">
        <v>0</v>
      </c>
      <c r="K124" s="3119">
        <v>38228.400000000001</v>
      </c>
      <c r="L124" s="3111">
        <v>0</v>
      </c>
      <c r="M124" s="3119">
        <v>1345.66</v>
      </c>
      <c r="N124" s="3111" t="s">
        <v>70</v>
      </c>
      <c r="O124" s="3119">
        <v>3</v>
      </c>
      <c r="P124" s="3119">
        <v>840</v>
      </c>
    </row>
    <row r="125" spans="4:16" ht="15" thickBot="1">
      <c r="D125" s="3113" t="s">
        <v>4794</v>
      </c>
      <c r="E125" s="3108" t="s">
        <v>4795</v>
      </c>
      <c r="F125" s="3109">
        <f t="shared" si="2"/>
        <v>1450</v>
      </c>
      <c r="G125" s="3109">
        <v>0</v>
      </c>
      <c r="H125" s="3109"/>
      <c r="I125" s="3119">
        <v>1450</v>
      </c>
      <c r="J125" s="3109">
        <v>0</v>
      </c>
      <c r="K125" s="3119">
        <v>0</v>
      </c>
      <c r="L125" s="3119">
        <v>0</v>
      </c>
      <c r="M125" s="3119">
        <v>0</v>
      </c>
      <c r="N125" s="3111" t="s">
        <v>70</v>
      </c>
      <c r="O125" s="3111" t="s">
        <v>70</v>
      </c>
      <c r="P125" s="3111" t="s">
        <v>70</v>
      </c>
    </row>
    <row r="126" spans="4:16" ht="15" thickBot="1">
      <c r="D126" s="3120" t="s">
        <v>37</v>
      </c>
      <c r="E126" s="3107" t="s">
        <v>70</v>
      </c>
      <c r="F126" s="3110">
        <f>SUM(F115:F125)</f>
        <v>229062.53</v>
      </c>
      <c r="G126" s="3110">
        <f t="shared" ref="G126:M126" si="3">SUM(G115:G125)</f>
        <v>90961.07</v>
      </c>
      <c r="H126" s="3110">
        <f t="shared" si="3"/>
        <v>263.92</v>
      </c>
      <c r="I126" s="3110">
        <f t="shared" si="3"/>
        <v>2970.84</v>
      </c>
      <c r="J126" s="3110">
        <f t="shared" si="3"/>
        <v>92803.519999999975</v>
      </c>
      <c r="K126" s="3110">
        <f t="shared" si="3"/>
        <v>38228.400000000001</v>
      </c>
      <c r="L126" s="3110">
        <f t="shared" si="3"/>
        <v>382.04</v>
      </c>
      <c r="M126" s="3110">
        <f t="shared" si="3"/>
        <v>3452.74</v>
      </c>
      <c r="N126" s="3121"/>
      <c r="O126" s="3121"/>
      <c r="P126" s="3121"/>
    </row>
    <row r="128" spans="4:16">
      <c r="F128">
        <v>229062.52999999997</v>
      </c>
    </row>
    <row r="129" spans="6:6">
      <c r="F129">
        <f>F128-F126</f>
        <v>0</v>
      </c>
    </row>
  </sheetData>
  <mergeCells count="45">
    <mergeCell ref="A10:C10"/>
    <mergeCell ref="D10:I10"/>
    <mergeCell ref="A7:C7"/>
    <mergeCell ref="D7:I7"/>
    <mergeCell ref="A8:C8"/>
    <mergeCell ref="D8:I8"/>
    <mergeCell ref="A9:C9"/>
    <mergeCell ref="D9:I9"/>
    <mergeCell ref="D5:E5"/>
    <mergeCell ref="F5:G5"/>
    <mergeCell ref="H5:I5"/>
    <mergeCell ref="A6:C6"/>
    <mergeCell ref="D6:E6"/>
    <mergeCell ref="F6:G6"/>
    <mergeCell ref="H6:I6"/>
    <mergeCell ref="A1:A2"/>
    <mergeCell ref="B1:B2"/>
    <mergeCell ref="C1:C2"/>
    <mergeCell ref="D1:E1"/>
    <mergeCell ref="F1:G1"/>
    <mergeCell ref="H1:I1"/>
    <mergeCell ref="L1:L15"/>
    <mergeCell ref="M1:M2"/>
    <mergeCell ref="N1:N2"/>
    <mergeCell ref="O1:Q1"/>
    <mergeCell ref="M3:M10"/>
    <mergeCell ref="M11:N11"/>
    <mergeCell ref="M12:M13"/>
    <mergeCell ref="M14:N14"/>
    <mergeCell ref="M15:N15"/>
    <mergeCell ref="L16:L26"/>
    <mergeCell ref="M16:M21"/>
    <mergeCell ref="M22:N22"/>
    <mergeCell ref="M23:M24"/>
    <mergeCell ref="M25:N25"/>
    <mergeCell ref="M26:N26"/>
    <mergeCell ref="O30:O31"/>
    <mergeCell ref="P30:P31"/>
    <mergeCell ref="L27:N27"/>
    <mergeCell ref="D30:D31"/>
    <mergeCell ref="E30:E31"/>
    <mergeCell ref="F30:F31"/>
    <mergeCell ref="G30:I30"/>
    <mergeCell ref="J30:M30"/>
    <mergeCell ref="N30:N3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8" customWidth="1"/>
    <col min="2" max="3" width="22.33203125" style="1938" customWidth="1"/>
    <col min="4" max="4" width="23" style="1938" customWidth="1"/>
    <col min="5" max="16384" width="9" style="1938"/>
  </cols>
  <sheetData>
    <row r="1" spans="1:4" ht="17.399999999999999">
      <c r="A1" s="3154" t="s">
        <v>1656</v>
      </c>
      <c r="B1" s="3154"/>
      <c r="C1" s="3154"/>
      <c r="D1" s="3154"/>
    </row>
    <row r="2" spans="1:4" ht="17.399999999999999">
      <c r="A2" s="3155" t="s">
        <v>1640</v>
      </c>
      <c r="B2" s="3155"/>
      <c r="C2" s="3155"/>
      <c r="D2" s="3155"/>
    </row>
    <row r="3" spans="1:4" ht="17.399999999999999">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7.399999999999999">
      <c r="A6" s="3155" t="s">
        <v>1646</v>
      </c>
      <c r="B6" s="3155"/>
      <c r="C6" s="3155"/>
      <c r="D6" s="3155"/>
    </row>
    <row r="7" spans="1:4" ht="17.399999999999999">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7.399999999999999">
      <c r="A10" s="1977" t="s">
        <v>1648</v>
      </c>
      <c r="B10" s="726"/>
      <c r="C10" s="726"/>
      <c r="D10" s="726"/>
    </row>
    <row r="11" spans="1:4" ht="30" customHeight="1">
      <c r="A11" s="3156" t="s">
        <v>1649</v>
      </c>
      <c r="B11" s="3148"/>
      <c r="C11" s="3148"/>
      <c r="D11" s="3148"/>
    </row>
    <row r="12" spans="1:4" ht="15.6">
      <c r="A12" s="31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48" t="str">
        <f>IF(项目基本情况!B8="抵押","4.本次评估估价师所知悉的法定优先受偿款情况说明如下：","——")</f>
        <v>4.本次评估估价师所知悉的法定优先受偿款情况说明如下：</v>
      </c>
      <c r="B14" s="3153"/>
      <c r="C14" s="3153"/>
      <c r="D14" s="3153"/>
    </row>
    <row r="15" spans="1:4" ht="42" customHeight="1">
      <c r="A15" s="314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8"/>
      <c r="C15" s="3148"/>
      <c r="D15" s="3148"/>
    </row>
    <row r="16" spans="1:4" ht="30" customHeight="1">
      <c r="A16" s="3150" t="s">
        <v>1650</v>
      </c>
      <c r="B16" s="3150"/>
      <c r="C16" s="3150"/>
      <c r="D16" s="3150"/>
    </row>
    <row r="17" spans="1:4" ht="144" customHeight="1">
      <c r="A17" s="3150" t="s">
        <v>1651</v>
      </c>
      <c r="B17" s="3150"/>
      <c r="C17" s="3150"/>
      <c r="D17" s="3150"/>
    </row>
    <row r="18" spans="1:4" ht="15.75" customHeight="1">
      <c r="A18" s="3148" t="str">
        <f>IF(项目基本情况!B8="抵押",结果表!K120,"——")</f>
        <v>故，本次评估不存在估价师知悉的法定优先受偿款</v>
      </c>
      <c r="B18" s="3148"/>
      <c r="C18" s="3148"/>
      <c r="D18" s="3148"/>
    </row>
    <row r="19" spans="1:4" ht="46.5" customHeight="1">
      <c r="A19" s="31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8"/>
      <c r="C19" s="3148"/>
      <c r="D19" s="3148"/>
    </row>
    <row r="20" spans="1:4" ht="57.75" customHeight="1">
      <c r="A20" s="31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8"/>
      <c r="C20" s="3148"/>
      <c r="D20" s="3148"/>
    </row>
    <row r="21" spans="1:4" ht="57.75" customHeight="1">
      <c r="A21" s="31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1"/>
      <c r="C21" s="3151"/>
      <c r="D21" s="3151"/>
    </row>
    <row r="22" spans="1:4" ht="18.75" customHeight="1">
      <c r="A22" s="3152" t="s">
        <v>1652</v>
      </c>
      <c r="B22" s="3152"/>
      <c r="C22" s="3152"/>
      <c r="D22" s="3152"/>
    </row>
    <row r="23" spans="1:4">
      <c r="A23" s="1978"/>
      <c r="B23" s="1950"/>
      <c r="C23" s="1950"/>
      <c r="D23" s="1950"/>
    </row>
    <row r="24" spans="1:4">
      <c r="A24" s="1978"/>
      <c r="B24" s="1950"/>
      <c r="C24" s="1950"/>
      <c r="D24" s="1950"/>
    </row>
    <row r="25" spans="1:4" ht="17.399999999999999">
      <c r="A25" s="1979" t="s">
        <v>1653</v>
      </c>
    </row>
    <row r="26" spans="1:4" ht="17.399999999999999">
      <c r="A26" s="1948"/>
    </row>
    <row r="27" spans="1:4" ht="17.399999999999999">
      <c r="A27" s="1948" t="s">
        <v>1654</v>
      </c>
    </row>
    <row r="30" spans="1:4" ht="17.399999999999999">
      <c r="D30" s="1979" t="s">
        <v>1655</v>
      </c>
    </row>
    <row r="31" spans="1:4" ht="13.5" customHeight="1">
      <c r="C31" s="3149">
        <v>42551</v>
      </c>
      <c r="D31" s="31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6" customWidth="1"/>
    <col min="3" max="10" width="12.44140625" style="1936" customWidth="1"/>
    <col min="11" max="16384" width="9" style="1936"/>
  </cols>
  <sheetData>
    <row r="1" spans="1:10" ht="17.399999999999999">
      <c r="A1" s="1969" t="s">
        <v>866</v>
      </c>
      <c r="B1" s="1980"/>
      <c r="C1" s="1980"/>
      <c r="D1" s="1980"/>
      <c r="E1" s="1980"/>
      <c r="F1" s="1980"/>
      <c r="G1" s="1980"/>
      <c r="H1" s="1980"/>
      <c r="I1" s="1980"/>
      <c r="J1" s="1980"/>
    </row>
    <row r="2" spans="1:10" ht="17.399999999999999">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6" customWidth="1"/>
    <col min="2" max="16384" width="14.44140625" style="1968"/>
  </cols>
  <sheetData>
    <row r="1" spans="1:7" s="1983" customFormat="1" ht="17.399999999999999">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4.4">
      <c r="A15" s="3162" t="s">
        <v>1663</v>
      </c>
      <c r="B15" s="3157" t="s">
        <v>136</v>
      </c>
      <c r="C15" s="3158"/>
    </row>
    <row r="16" spans="1:7" ht="14.4">
      <c r="A16" s="3163"/>
      <c r="B16" s="3157" t="s">
        <v>69</v>
      </c>
      <c r="C16" s="3158"/>
    </row>
    <row r="17" spans="1:3" ht="14.4">
      <c r="A17" s="3163"/>
      <c r="B17" s="3160" t="s">
        <v>1664</v>
      </c>
      <c r="C17" s="1993" t="s">
        <v>1663</v>
      </c>
    </row>
    <row r="18" spans="1:3" ht="14.4">
      <c r="A18" s="3163"/>
      <c r="B18" s="3160"/>
      <c r="C18" s="1993" t="s">
        <v>1665</v>
      </c>
    </row>
    <row r="19" spans="1:3" ht="14.4">
      <c r="A19" s="3163"/>
      <c r="B19" s="3160"/>
      <c r="C19" s="1993" t="s">
        <v>1666</v>
      </c>
    </row>
    <row r="20" spans="1:3" ht="14.4">
      <c r="A20" s="3164"/>
      <c r="B20" s="3159" t="s">
        <v>1667</v>
      </c>
      <c r="C20" s="3158"/>
    </row>
    <row r="21" spans="1:3" ht="14.4">
      <c r="A21" s="1994" t="s">
        <v>1668</v>
      </c>
      <c r="B21" s="1995"/>
      <c r="C21" s="1996"/>
    </row>
    <row r="22" spans="1:3" ht="14.4">
      <c r="A22" s="3161" t="s">
        <v>1669</v>
      </c>
      <c r="B22" s="3159" t="s">
        <v>1670</v>
      </c>
      <c r="C22" s="3158"/>
    </row>
    <row r="23" spans="1:3" ht="14.4">
      <c r="A23" s="3161"/>
      <c r="B23" s="3159" t="s">
        <v>1671</v>
      </c>
      <c r="C23" s="3158"/>
    </row>
    <row r="24" spans="1:3" ht="14.4">
      <c r="A24" s="3161"/>
      <c r="B24" s="3159" t="s">
        <v>1672</v>
      </c>
      <c r="C24" s="3158"/>
    </row>
    <row r="25" spans="1:3" ht="14.4">
      <c r="A25" s="3161"/>
      <c r="B25" s="3160" t="s">
        <v>1673</v>
      </c>
      <c r="C25" s="1993" t="s">
        <v>1674</v>
      </c>
    </row>
    <row r="26" spans="1:3" ht="14.4">
      <c r="A26" s="3161"/>
      <c r="B26" s="3160"/>
      <c r="C26" s="1993" t="s">
        <v>1675</v>
      </c>
    </row>
    <row r="27" spans="1:3" ht="14.4">
      <c r="A27" s="3161"/>
      <c r="B27" s="3160"/>
      <c r="C27" s="1993" t="s">
        <v>1676</v>
      </c>
    </row>
    <row r="28" spans="1:3" ht="14.4">
      <c r="A28" s="3161"/>
      <c r="B28" s="3160"/>
      <c r="C28" s="1993" t="s">
        <v>1677</v>
      </c>
    </row>
    <row r="29" spans="1:3" ht="14.4">
      <c r="A29" s="3161"/>
      <c r="B29" s="3160"/>
      <c r="C29" s="1993" t="s">
        <v>1678</v>
      </c>
    </row>
    <row r="30" spans="1:3" ht="14.4">
      <c r="A30" s="3161"/>
      <c r="B30" s="3160"/>
      <c r="C30" s="1993" t="s">
        <v>1679</v>
      </c>
    </row>
    <row r="31" spans="1:3" ht="14.4">
      <c r="A31" s="3161"/>
      <c r="B31" s="3160"/>
      <c r="C31" s="1993" t="s">
        <v>1680</v>
      </c>
    </row>
    <row r="32" spans="1:3" ht="14.4">
      <c r="A32" s="3161"/>
      <c r="B32" s="3160"/>
      <c r="C32" s="1993" t="s">
        <v>1681</v>
      </c>
    </row>
    <row r="33" spans="1:3" ht="14.4">
      <c r="A33" s="3161"/>
      <c r="B33" s="3160"/>
      <c r="C33" s="1993" t="s">
        <v>1682</v>
      </c>
    </row>
    <row r="34" spans="1:3">
      <c r="A34" s="1997" t="s">
        <v>76</v>
      </c>
    </row>
    <row r="37" spans="1:3">
      <c r="A37" s="1997" t="s">
        <v>1683</v>
      </c>
    </row>
    <row r="38" spans="1:3" ht="14.4">
      <c r="A38" s="1998" t="s">
        <v>77</v>
      </c>
    </row>
    <row r="39" spans="1:3" ht="14.4">
      <c r="A39" s="1998" t="s">
        <v>78</v>
      </c>
    </row>
    <row r="40" spans="1:3" ht="14.4">
      <c r="A40" s="1998" t="s">
        <v>79</v>
      </c>
    </row>
    <row r="41" spans="1:3" ht="14.4">
      <c r="A41" s="1999" t="s">
        <v>80</v>
      </c>
    </row>
    <row r="42" spans="1:3" ht="14.4">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43899</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65" t="s">
        <v>842</v>
      </c>
      <c r="B25" s="3165"/>
      <c r="C25" s="3165"/>
      <c r="D25" s="3165"/>
      <c r="E25" s="3165"/>
      <c r="F25" s="3165"/>
      <c r="G25" s="3165"/>
    </row>
    <row r="26" spans="1:7" s="1022" customFormat="1" ht="24" customHeight="1">
      <c r="A26" s="3166" t="s">
        <v>843</v>
      </c>
      <c r="B26" s="3166"/>
      <c r="C26" s="3167"/>
      <c r="D26" s="3168" t="s">
        <v>844</v>
      </c>
      <c r="E26" s="3166"/>
      <c r="F26" s="3166"/>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2020-03-09T07:53:10Z</dcterms:modified>
</cp:coreProperties>
</file>